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drawings/drawing11.xml" ContentType="application/vnd.openxmlformats-officedocument.drawingml.chartshapes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5.xml" ContentType="application/vnd.openxmlformats-officedocument.drawingml.chartshapes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RobertoValencia/Documents/INSTITUTO TECNOLOGICO DE DURANGO/2017/PROYECTO SENER CONACYT 2014/REPORTE FINAL PROYECTO/ARCHIVOS EXCELL/"/>
    </mc:Choice>
  </mc:AlternateContent>
  <xr:revisionPtr revIDLastSave="0" documentId="13_ncr:1_{91384960-B886-794E-ABD9-7BCD7F556D00}" xr6:coauthVersionLast="47" xr6:coauthVersionMax="47" xr10:uidLastSave="{00000000-0000-0000-0000-000000000000}"/>
  <bookViews>
    <workbookView xWindow="25600" yWindow="460" windowWidth="26580" windowHeight="14900" firstSheet="5" activeTab="5" xr2:uid="{00000000-000D-0000-FFFF-FFFF00000000}"/>
  </bookViews>
  <sheets>
    <sheet name="DATOS" sheetId="11" r:id="rId1"/>
    <sheet name="SUSTRATOS Y MEZCLAS " sheetId="1" r:id="rId2"/>
    <sheet name="GRÁFICA pH (2)" sheetId="2" r:id="rId3"/>
    <sheet name="GRÁFICA REDOX (2)" sheetId="7" r:id="rId4"/>
    <sheet name="GRÁFICA CONDUCTIVIDAD ELÉCT (2" sheetId="3" r:id="rId5"/>
    <sheet name="GRÁFICA CALIDAD BIOGÁS" sheetId="4" r:id="rId6"/>
    <sheet name="Alcalinidad" sheetId="23" r:id="rId7"/>
    <sheet name="BIOGÁS" sheetId="8" r:id="rId8"/>
    <sheet name="GRAFICAS BIOGAS" sheetId="18" r:id="rId9"/>
    <sheet name="ST Y SV REACTOR 1" sheetId="5" r:id="rId10"/>
    <sheet name="ST Y SV REACTOR 2" sheetId="6" r:id="rId11"/>
    <sheet name="Hoja1" sheetId="9" r:id="rId12"/>
    <sheet name="Carga Reactor 1" sheetId="14" r:id="rId13"/>
    <sheet name="Carga Reactor 2" sheetId="15" r:id="rId14"/>
    <sheet name="Hoja4" sheetId="21" r:id="rId15"/>
    <sheet name="Hoja7" sheetId="2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9" i="8" l="1"/>
  <c r="J23" i="9"/>
  <c r="I9" i="9"/>
  <c r="H17" i="9"/>
  <c r="J126" i="9"/>
  <c r="I126" i="9"/>
  <c r="I93" i="9"/>
  <c r="I23" i="9"/>
  <c r="I206" i="5" l="1"/>
  <c r="H14" i="5"/>
  <c r="I205" i="5"/>
  <c r="H205" i="5"/>
  <c r="H9" i="5"/>
  <c r="H6" i="5"/>
  <c r="T6" i="5" s="1"/>
  <c r="H12" i="5"/>
  <c r="T12" i="5" s="1"/>
  <c r="AC46" i="5"/>
  <c r="J93" i="9"/>
  <c r="H22" i="9"/>
  <c r="U6" i="5" l="1"/>
  <c r="P43" i="8"/>
  <c r="L55" i="4"/>
  <c r="E55" i="4"/>
  <c r="E41" i="4"/>
  <c r="E11" i="4"/>
  <c r="I70" i="23" l="1"/>
  <c r="M70" i="23" s="1"/>
  <c r="N70" i="23" s="1"/>
  <c r="G70" i="23"/>
  <c r="K70" i="23" s="1"/>
  <c r="L70" i="23" s="1"/>
  <c r="I69" i="23"/>
  <c r="M69" i="23" s="1"/>
  <c r="N69" i="23" s="1"/>
  <c r="G69" i="23"/>
  <c r="K69" i="23" s="1"/>
  <c r="L69" i="23" s="1"/>
  <c r="I68" i="23"/>
  <c r="M68" i="23" s="1"/>
  <c r="N68" i="23" s="1"/>
  <c r="G68" i="23"/>
  <c r="K68" i="23" s="1"/>
  <c r="L68" i="23" s="1"/>
  <c r="I67" i="23"/>
  <c r="M67" i="23" s="1"/>
  <c r="N67" i="23" s="1"/>
  <c r="G67" i="23"/>
  <c r="I66" i="23"/>
  <c r="M66" i="23" s="1"/>
  <c r="N66" i="23" s="1"/>
  <c r="G66" i="23"/>
  <c r="K66" i="23" s="1"/>
  <c r="L66" i="23" s="1"/>
  <c r="I65" i="23"/>
  <c r="M65" i="23" s="1"/>
  <c r="N65" i="23" s="1"/>
  <c r="G65" i="23"/>
  <c r="K65" i="23" s="1"/>
  <c r="L65" i="23" s="1"/>
  <c r="I64" i="23"/>
  <c r="M64" i="23" s="1"/>
  <c r="N64" i="23" s="1"/>
  <c r="G64" i="23"/>
  <c r="K64" i="23" s="1"/>
  <c r="L64" i="23" s="1"/>
  <c r="I63" i="23"/>
  <c r="M63" i="23" s="1"/>
  <c r="N63" i="23" s="1"/>
  <c r="G63" i="23"/>
  <c r="M62" i="23"/>
  <c r="N62" i="23" s="1"/>
  <c r="I62" i="23"/>
  <c r="G62" i="23"/>
  <c r="K62" i="23" s="1"/>
  <c r="L62" i="23" s="1"/>
  <c r="I61" i="23"/>
  <c r="M61" i="23" s="1"/>
  <c r="N61" i="23" s="1"/>
  <c r="G61" i="23"/>
  <c r="K61" i="23" s="1"/>
  <c r="L61" i="23" s="1"/>
  <c r="I60" i="23"/>
  <c r="M60" i="23" s="1"/>
  <c r="N60" i="23" s="1"/>
  <c r="G60" i="23"/>
  <c r="K60" i="23" s="1"/>
  <c r="L60" i="23" s="1"/>
  <c r="I59" i="23"/>
  <c r="M59" i="23" s="1"/>
  <c r="N59" i="23" s="1"/>
  <c r="G59" i="23"/>
  <c r="I58" i="23"/>
  <c r="M58" i="23" s="1"/>
  <c r="N58" i="23" s="1"/>
  <c r="G58" i="23"/>
  <c r="K58" i="23" s="1"/>
  <c r="L58" i="23" s="1"/>
  <c r="I57" i="23"/>
  <c r="M57" i="23" s="1"/>
  <c r="N57" i="23" s="1"/>
  <c r="G57" i="23"/>
  <c r="K57" i="23" s="1"/>
  <c r="L57" i="23" s="1"/>
  <c r="K56" i="23"/>
  <c r="L56" i="23" s="1"/>
  <c r="I56" i="23"/>
  <c r="M56" i="23" s="1"/>
  <c r="N56" i="23" s="1"/>
  <c r="G56" i="23"/>
  <c r="J56" i="23" s="1"/>
  <c r="O56" i="23" s="1"/>
  <c r="P56" i="23" s="1"/>
  <c r="I55" i="23"/>
  <c r="M55" i="23" s="1"/>
  <c r="N55" i="23" s="1"/>
  <c r="G55" i="23"/>
  <c r="I54" i="23"/>
  <c r="M54" i="23" s="1"/>
  <c r="N54" i="23" s="1"/>
  <c r="G54" i="23"/>
  <c r="K54" i="23" s="1"/>
  <c r="L54" i="23" s="1"/>
  <c r="I53" i="23"/>
  <c r="M53" i="23" s="1"/>
  <c r="N53" i="23" s="1"/>
  <c r="G53" i="23"/>
  <c r="K53" i="23" s="1"/>
  <c r="L53" i="23" s="1"/>
  <c r="I52" i="23"/>
  <c r="M52" i="23" s="1"/>
  <c r="N52" i="23" s="1"/>
  <c r="G52" i="23"/>
  <c r="K52" i="23" s="1"/>
  <c r="L52" i="23" s="1"/>
  <c r="I51" i="23"/>
  <c r="M51" i="23" s="1"/>
  <c r="N51" i="23" s="1"/>
  <c r="G51" i="23"/>
  <c r="M50" i="23"/>
  <c r="N50" i="23" s="1"/>
  <c r="I50" i="23"/>
  <c r="G50" i="23"/>
  <c r="K50" i="23" s="1"/>
  <c r="L50" i="23" s="1"/>
  <c r="I49" i="23"/>
  <c r="M49" i="23" s="1"/>
  <c r="N49" i="23" s="1"/>
  <c r="G49" i="23"/>
  <c r="K49" i="23" s="1"/>
  <c r="L49" i="23" s="1"/>
  <c r="I48" i="23"/>
  <c r="M48" i="23" s="1"/>
  <c r="N48" i="23" s="1"/>
  <c r="G48" i="23"/>
  <c r="K48" i="23" s="1"/>
  <c r="L48" i="23" s="1"/>
  <c r="I47" i="23"/>
  <c r="M47" i="23" s="1"/>
  <c r="N47" i="23" s="1"/>
  <c r="G47" i="23"/>
  <c r="I46" i="23"/>
  <c r="M46" i="23" s="1"/>
  <c r="N46" i="23" s="1"/>
  <c r="G46" i="23"/>
  <c r="K46" i="23" s="1"/>
  <c r="L46" i="23" s="1"/>
  <c r="I45" i="23"/>
  <c r="M45" i="23" s="1"/>
  <c r="N45" i="23" s="1"/>
  <c r="G45" i="23"/>
  <c r="K45" i="23" s="1"/>
  <c r="L45" i="23" s="1"/>
  <c r="I44" i="23"/>
  <c r="M44" i="23" s="1"/>
  <c r="N44" i="23" s="1"/>
  <c r="G44" i="23"/>
  <c r="J44" i="23" s="1"/>
  <c r="O44" i="23" s="1"/>
  <c r="P44" i="23" s="1"/>
  <c r="I43" i="23"/>
  <c r="M43" i="23" s="1"/>
  <c r="N43" i="23" s="1"/>
  <c r="G43" i="23"/>
  <c r="I42" i="23"/>
  <c r="M42" i="23" s="1"/>
  <c r="N42" i="23" s="1"/>
  <c r="G42" i="23"/>
  <c r="K42" i="23" s="1"/>
  <c r="L42" i="23" s="1"/>
  <c r="I41" i="23"/>
  <c r="M41" i="23" s="1"/>
  <c r="N41" i="23" s="1"/>
  <c r="G41" i="23"/>
  <c r="K41" i="23" s="1"/>
  <c r="L41" i="23" s="1"/>
  <c r="K40" i="23"/>
  <c r="L40" i="23" s="1"/>
  <c r="I40" i="23"/>
  <c r="M40" i="23" s="1"/>
  <c r="N40" i="23" s="1"/>
  <c r="G40" i="23"/>
  <c r="I39" i="23"/>
  <c r="M39" i="23" s="1"/>
  <c r="N39" i="23" s="1"/>
  <c r="G39" i="23"/>
  <c r="I38" i="23"/>
  <c r="M38" i="23" s="1"/>
  <c r="N38" i="23" s="1"/>
  <c r="G38" i="23"/>
  <c r="K38" i="23" s="1"/>
  <c r="L38" i="23" s="1"/>
  <c r="N37" i="23"/>
  <c r="I37" i="23"/>
  <c r="M37" i="23" s="1"/>
  <c r="G37" i="23"/>
  <c r="K37" i="23" s="1"/>
  <c r="L37" i="23" s="1"/>
  <c r="K36" i="23"/>
  <c r="L36" i="23" s="1"/>
  <c r="I36" i="23"/>
  <c r="M36" i="23" s="1"/>
  <c r="N36" i="23" s="1"/>
  <c r="G36" i="23"/>
  <c r="I35" i="23"/>
  <c r="M35" i="23" s="1"/>
  <c r="N35" i="23" s="1"/>
  <c r="G35" i="23"/>
  <c r="M34" i="23"/>
  <c r="N34" i="23" s="1"/>
  <c r="I34" i="23"/>
  <c r="G34" i="23"/>
  <c r="K34" i="23" s="1"/>
  <c r="L34" i="23" s="1"/>
  <c r="I33" i="23"/>
  <c r="M33" i="23" s="1"/>
  <c r="N33" i="23" s="1"/>
  <c r="G33" i="23"/>
  <c r="K33" i="23" s="1"/>
  <c r="L33" i="23" s="1"/>
  <c r="I32" i="23"/>
  <c r="M32" i="23" s="1"/>
  <c r="N32" i="23" s="1"/>
  <c r="G32" i="23"/>
  <c r="K32" i="23" s="1"/>
  <c r="L32" i="23" s="1"/>
  <c r="I31" i="23"/>
  <c r="M31" i="23" s="1"/>
  <c r="N31" i="23" s="1"/>
  <c r="G31" i="23"/>
  <c r="I30" i="23"/>
  <c r="M30" i="23" s="1"/>
  <c r="N30" i="23" s="1"/>
  <c r="G30" i="23"/>
  <c r="K30" i="23" s="1"/>
  <c r="L30" i="23" s="1"/>
  <c r="I29" i="23"/>
  <c r="M29" i="23" s="1"/>
  <c r="N29" i="23" s="1"/>
  <c r="G29" i="23"/>
  <c r="K29" i="23" s="1"/>
  <c r="L29" i="23" s="1"/>
  <c r="M28" i="23"/>
  <c r="N28" i="23" s="1"/>
  <c r="I28" i="23"/>
  <c r="G28" i="23"/>
  <c r="K28" i="23" s="1"/>
  <c r="L28" i="23" s="1"/>
  <c r="I27" i="23"/>
  <c r="M27" i="23" s="1"/>
  <c r="N27" i="23" s="1"/>
  <c r="G27" i="23"/>
  <c r="K27" i="23" s="1"/>
  <c r="L27" i="23" s="1"/>
  <c r="I26" i="23"/>
  <c r="M26" i="23" s="1"/>
  <c r="N26" i="23" s="1"/>
  <c r="G26" i="23"/>
  <c r="L25" i="23"/>
  <c r="I25" i="23"/>
  <c r="M25" i="23" s="1"/>
  <c r="N25" i="23" s="1"/>
  <c r="G25" i="23"/>
  <c r="K25" i="23" s="1"/>
  <c r="I24" i="23"/>
  <c r="M24" i="23" s="1"/>
  <c r="N24" i="23" s="1"/>
  <c r="G24" i="23"/>
  <c r="K24" i="23" s="1"/>
  <c r="L24" i="23" s="1"/>
  <c r="I23" i="23"/>
  <c r="M23" i="23" s="1"/>
  <c r="N23" i="23" s="1"/>
  <c r="G23" i="23"/>
  <c r="K23" i="23" s="1"/>
  <c r="L23" i="23" s="1"/>
  <c r="I22" i="23"/>
  <c r="M22" i="23" s="1"/>
  <c r="N22" i="23" s="1"/>
  <c r="G22" i="23"/>
  <c r="K22" i="23" s="1"/>
  <c r="L22" i="23" s="1"/>
  <c r="K21" i="23"/>
  <c r="L21" i="23" s="1"/>
  <c r="I21" i="23"/>
  <c r="M21" i="23" s="1"/>
  <c r="N21" i="23" s="1"/>
  <c r="G21" i="23"/>
  <c r="I20" i="23"/>
  <c r="M20" i="23" s="1"/>
  <c r="N20" i="23" s="1"/>
  <c r="G20" i="23"/>
  <c r="M19" i="23"/>
  <c r="N19" i="23" s="1"/>
  <c r="I19" i="23"/>
  <c r="G19" i="23"/>
  <c r="K19" i="23" s="1"/>
  <c r="L19" i="23" s="1"/>
  <c r="K18" i="23"/>
  <c r="L18" i="23" s="1"/>
  <c r="I18" i="23"/>
  <c r="M18" i="23" s="1"/>
  <c r="N18" i="23" s="1"/>
  <c r="G18" i="23"/>
  <c r="I17" i="23"/>
  <c r="M17" i="23" s="1"/>
  <c r="N17" i="23" s="1"/>
  <c r="G17" i="23"/>
  <c r="K17" i="23" s="1"/>
  <c r="L17" i="23" s="1"/>
  <c r="I16" i="23"/>
  <c r="M16" i="23" s="1"/>
  <c r="N16" i="23" s="1"/>
  <c r="G16" i="23"/>
  <c r="I15" i="23"/>
  <c r="M15" i="23" s="1"/>
  <c r="N15" i="23" s="1"/>
  <c r="G15" i="23"/>
  <c r="K15" i="23" s="1"/>
  <c r="L15" i="23" s="1"/>
  <c r="I14" i="23"/>
  <c r="M14" i="23" s="1"/>
  <c r="N14" i="23" s="1"/>
  <c r="G14" i="23"/>
  <c r="K14" i="23" s="1"/>
  <c r="L14" i="23" s="1"/>
  <c r="I13" i="23"/>
  <c r="M13" i="23" s="1"/>
  <c r="N13" i="23" s="1"/>
  <c r="G13" i="23"/>
  <c r="K13" i="23" s="1"/>
  <c r="L13" i="23" s="1"/>
  <c r="I12" i="23"/>
  <c r="M12" i="23" s="1"/>
  <c r="N12" i="23" s="1"/>
  <c r="G12" i="23"/>
  <c r="I11" i="23"/>
  <c r="M11" i="23" s="1"/>
  <c r="N11" i="23" s="1"/>
  <c r="G11" i="23"/>
  <c r="K11" i="23" s="1"/>
  <c r="L11" i="23" s="1"/>
  <c r="I10" i="23"/>
  <c r="M10" i="23" s="1"/>
  <c r="N10" i="23" s="1"/>
  <c r="G10" i="23"/>
  <c r="J10" i="23" s="1"/>
  <c r="O10" i="23" s="1"/>
  <c r="P10" i="23" s="1"/>
  <c r="I9" i="23"/>
  <c r="M9" i="23" s="1"/>
  <c r="N9" i="23" s="1"/>
  <c r="G9" i="23"/>
  <c r="K9" i="23" s="1"/>
  <c r="L9" i="23" s="1"/>
  <c r="I8" i="23"/>
  <c r="M8" i="23" s="1"/>
  <c r="N8" i="23" s="1"/>
  <c r="G8" i="23"/>
  <c r="M7" i="23"/>
  <c r="N7" i="23" s="1"/>
  <c r="I7" i="23"/>
  <c r="G7" i="23"/>
  <c r="K7" i="23" s="1"/>
  <c r="L7" i="23" s="1"/>
  <c r="K6" i="23"/>
  <c r="L6" i="23" s="1"/>
  <c r="I6" i="23"/>
  <c r="M6" i="23" s="1"/>
  <c r="N6" i="23" s="1"/>
  <c r="G6" i="23"/>
  <c r="I5" i="23"/>
  <c r="M5" i="23" s="1"/>
  <c r="N5" i="23" s="1"/>
  <c r="G5" i="23"/>
  <c r="K5" i="23" s="1"/>
  <c r="L5" i="23" s="1"/>
  <c r="I4" i="23"/>
  <c r="M4" i="23" s="1"/>
  <c r="N4" i="23" s="1"/>
  <c r="G4" i="23"/>
  <c r="I3" i="23"/>
  <c r="G3" i="23"/>
  <c r="K3" i="23" s="1"/>
  <c r="L3" i="23" s="1"/>
  <c r="K10" i="23" l="1"/>
  <c r="L10" i="23" s="1"/>
  <c r="J36" i="23"/>
  <c r="O36" i="23" s="1"/>
  <c r="P36" i="23" s="1"/>
  <c r="J41" i="23"/>
  <c r="O41" i="23" s="1"/>
  <c r="P41" i="23" s="1"/>
  <c r="K44" i="23"/>
  <c r="L44" i="23" s="1"/>
  <c r="J57" i="23"/>
  <c r="O57" i="23" s="1"/>
  <c r="P57" i="23" s="1"/>
  <c r="J24" i="23"/>
  <c r="O24" i="23" s="1"/>
  <c r="P24" i="23" s="1"/>
  <c r="J33" i="23"/>
  <c r="O33" i="23" s="1"/>
  <c r="P33" i="23" s="1"/>
  <c r="J49" i="23"/>
  <c r="O49" i="23" s="1"/>
  <c r="P49" i="23" s="1"/>
  <c r="J64" i="23"/>
  <c r="O64" i="23" s="1"/>
  <c r="P64" i="23" s="1"/>
  <c r="J18" i="23"/>
  <c r="O18" i="23" s="1"/>
  <c r="P18" i="23" s="1"/>
  <c r="J23" i="23"/>
  <c r="O23" i="23" s="1"/>
  <c r="P23" i="23" s="1"/>
  <c r="J5" i="23"/>
  <c r="O5" i="23" s="1"/>
  <c r="P5" i="23" s="1"/>
  <c r="J11" i="23"/>
  <c r="O11" i="23" s="1"/>
  <c r="P11" i="23" s="1"/>
  <c r="J13" i="23"/>
  <c r="O13" i="23" s="1"/>
  <c r="P13" i="23" s="1"/>
  <c r="J19" i="23"/>
  <c r="O19" i="23" s="1"/>
  <c r="P19" i="23" s="1"/>
  <c r="J21" i="23"/>
  <c r="O21" i="23" s="1"/>
  <c r="P21" i="23" s="1"/>
  <c r="J28" i="23"/>
  <c r="O28" i="23" s="1"/>
  <c r="P28" i="23" s="1"/>
  <c r="J52" i="23"/>
  <c r="O52" i="23" s="1"/>
  <c r="P52" i="23" s="1"/>
  <c r="J60" i="23"/>
  <c r="O60" i="23" s="1"/>
  <c r="P60" i="23" s="1"/>
  <c r="J69" i="23"/>
  <c r="O69" i="23" s="1"/>
  <c r="P69" i="23" s="1"/>
  <c r="J29" i="23"/>
  <c r="O29" i="23" s="1"/>
  <c r="P29" i="23" s="1"/>
  <c r="J37" i="23"/>
  <c r="O37" i="23" s="1"/>
  <c r="P37" i="23" s="1"/>
  <c r="J45" i="23"/>
  <c r="O45" i="23" s="1"/>
  <c r="P45" i="23" s="1"/>
  <c r="J53" i="23"/>
  <c r="O53" i="23" s="1"/>
  <c r="P53" i="23" s="1"/>
  <c r="J61" i="23"/>
  <c r="O61" i="23" s="1"/>
  <c r="P61" i="23" s="1"/>
  <c r="J3" i="23"/>
  <c r="O3" i="23" s="1"/>
  <c r="P3" i="23" s="1"/>
  <c r="M3" i="23"/>
  <c r="N3" i="23" s="1"/>
  <c r="N71" i="23" s="1"/>
  <c r="J6" i="23"/>
  <c r="O6" i="23" s="1"/>
  <c r="P6" i="23" s="1"/>
  <c r="J7" i="23"/>
  <c r="O7" i="23" s="1"/>
  <c r="P7" i="23" s="1"/>
  <c r="J9" i="23"/>
  <c r="O9" i="23" s="1"/>
  <c r="P9" i="23" s="1"/>
  <c r="J14" i="23"/>
  <c r="O14" i="23" s="1"/>
  <c r="P14" i="23" s="1"/>
  <c r="J15" i="23"/>
  <c r="O15" i="23" s="1"/>
  <c r="P15" i="23" s="1"/>
  <c r="J17" i="23"/>
  <c r="O17" i="23" s="1"/>
  <c r="P17" i="23" s="1"/>
  <c r="J22" i="23"/>
  <c r="O22" i="23" s="1"/>
  <c r="P22" i="23" s="1"/>
  <c r="J27" i="23"/>
  <c r="O27" i="23" s="1"/>
  <c r="P27" i="23" s="1"/>
  <c r="J32" i="23"/>
  <c r="O32" i="23" s="1"/>
  <c r="P32" i="23" s="1"/>
  <c r="J40" i="23"/>
  <c r="O40" i="23" s="1"/>
  <c r="P40" i="23" s="1"/>
  <c r="J48" i="23"/>
  <c r="O48" i="23" s="1"/>
  <c r="P48" i="23" s="1"/>
  <c r="J65" i="23"/>
  <c r="O65" i="23" s="1"/>
  <c r="P65" i="23" s="1"/>
  <c r="J68" i="23"/>
  <c r="O68" i="23" s="1"/>
  <c r="P68" i="23" s="1"/>
  <c r="K51" i="23"/>
  <c r="L51" i="23" s="1"/>
  <c r="J51" i="23"/>
  <c r="O51" i="23" s="1"/>
  <c r="P51" i="23" s="1"/>
  <c r="K8" i="23"/>
  <c r="L8" i="23" s="1"/>
  <c r="J8" i="23"/>
  <c r="O8" i="23" s="1"/>
  <c r="P8" i="23" s="1"/>
  <c r="K12" i="23"/>
  <c r="L12" i="23" s="1"/>
  <c r="J12" i="23"/>
  <c r="O12" i="23" s="1"/>
  <c r="P12" i="23" s="1"/>
  <c r="K16" i="23"/>
  <c r="L16" i="23" s="1"/>
  <c r="J16" i="23"/>
  <c r="O16" i="23" s="1"/>
  <c r="P16" i="23" s="1"/>
  <c r="K31" i="23"/>
  <c r="L31" i="23" s="1"/>
  <c r="J31" i="23"/>
  <c r="O31" i="23" s="1"/>
  <c r="P31" i="23" s="1"/>
  <c r="K39" i="23"/>
  <c r="L39" i="23" s="1"/>
  <c r="J39" i="23"/>
  <c r="O39" i="23" s="1"/>
  <c r="P39" i="23" s="1"/>
  <c r="K47" i="23"/>
  <c r="L47" i="23" s="1"/>
  <c r="J47" i="23"/>
  <c r="O47" i="23" s="1"/>
  <c r="P47" i="23" s="1"/>
  <c r="K55" i="23"/>
  <c r="L55" i="23" s="1"/>
  <c r="J55" i="23"/>
  <c r="O55" i="23" s="1"/>
  <c r="P55" i="23" s="1"/>
  <c r="J26" i="23"/>
  <c r="O26" i="23" s="1"/>
  <c r="P26" i="23" s="1"/>
  <c r="K26" i="23"/>
  <c r="L26" i="23" s="1"/>
  <c r="K35" i="23"/>
  <c r="L35" i="23" s="1"/>
  <c r="J35" i="23"/>
  <c r="O35" i="23" s="1"/>
  <c r="P35" i="23" s="1"/>
  <c r="K43" i="23"/>
  <c r="L43" i="23" s="1"/>
  <c r="J43" i="23"/>
  <c r="O43" i="23" s="1"/>
  <c r="P43" i="23" s="1"/>
  <c r="K59" i="23"/>
  <c r="L59" i="23" s="1"/>
  <c r="J59" i="23"/>
  <c r="O59" i="23" s="1"/>
  <c r="P59" i="23" s="1"/>
  <c r="K4" i="23"/>
  <c r="L4" i="23" s="1"/>
  <c r="J4" i="23"/>
  <c r="O4" i="23" s="1"/>
  <c r="P4" i="23" s="1"/>
  <c r="K20" i="23"/>
  <c r="L20" i="23" s="1"/>
  <c r="J20" i="23"/>
  <c r="O20" i="23" s="1"/>
  <c r="P20" i="23" s="1"/>
  <c r="K63" i="23"/>
  <c r="L63" i="23" s="1"/>
  <c r="J63" i="23"/>
  <c r="O63" i="23" s="1"/>
  <c r="P63" i="23" s="1"/>
  <c r="K67" i="23"/>
  <c r="L67" i="23" s="1"/>
  <c r="J67" i="23"/>
  <c r="O67" i="23" s="1"/>
  <c r="P67" i="23" s="1"/>
  <c r="J25" i="23"/>
  <c r="O25" i="23" s="1"/>
  <c r="P25" i="23" s="1"/>
  <c r="J30" i="23"/>
  <c r="O30" i="23" s="1"/>
  <c r="P30" i="23" s="1"/>
  <c r="J34" i="23"/>
  <c r="O34" i="23" s="1"/>
  <c r="P34" i="23" s="1"/>
  <c r="J38" i="23"/>
  <c r="O38" i="23" s="1"/>
  <c r="P38" i="23" s="1"/>
  <c r="J42" i="23"/>
  <c r="O42" i="23" s="1"/>
  <c r="P42" i="23" s="1"/>
  <c r="J46" i="23"/>
  <c r="O46" i="23" s="1"/>
  <c r="P46" i="23" s="1"/>
  <c r="J50" i="23"/>
  <c r="O50" i="23" s="1"/>
  <c r="P50" i="23" s="1"/>
  <c r="J54" i="23"/>
  <c r="O54" i="23" s="1"/>
  <c r="P54" i="23" s="1"/>
  <c r="J58" i="23"/>
  <c r="O58" i="23" s="1"/>
  <c r="P58" i="23" s="1"/>
  <c r="J62" i="23"/>
  <c r="O62" i="23" s="1"/>
  <c r="P62" i="23" s="1"/>
  <c r="J66" i="23"/>
  <c r="O66" i="23" s="1"/>
  <c r="P66" i="23" s="1"/>
  <c r="J70" i="23"/>
  <c r="O70" i="23" s="1"/>
  <c r="P70" i="23" s="1"/>
  <c r="H212" i="5" l="1"/>
  <c r="T212" i="5" s="1"/>
  <c r="H211" i="5"/>
  <c r="U211" i="5" s="1"/>
  <c r="V211" i="5" s="1"/>
  <c r="H210" i="5"/>
  <c r="T210" i="5" s="1"/>
  <c r="I212" i="5"/>
  <c r="K212" i="5" s="1"/>
  <c r="L212" i="5" s="1"/>
  <c r="I211" i="5"/>
  <c r="K211" i="5" s="1"/>
  <c r="L211" i="5" s="1"/>
  <c r="J3" i="4"/>
  <c r="U210" i="5" l="1"/>
  <c r="V210" i="5" s="1"/>
  <c r="J211" i="5"/>
  <c r="T211" i="5"/>
  <c r="AA210" i="5" s="1"/>
  <c r="AB210" i="5" s="1"/>
  <c r="U212" i="5"/>
  <c r="V212" i="5" s="1"/>
  <c r="X210" i="5" s="1"/>
  <c r="Z210" i="5" s="1"/>
  <c r="J212" i="5"/>
  <c r="J4" i="7"/>
  <c r="K4" i="7"/>
  <c r="D63" i="1"/>
  <c r="D60" i="1"/>
  <c r="D57" i="1"/>
  <c r="E63" i="1"/>
  <c r="E54" i="1"/>
  <c r="E57" i="1"/>
  <c r="E60" i="1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4" i="9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5" i="2"/>
  <c r="J56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5" i="2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J5" i="3"/>
  <c r="I5" i="3"/>
  <c r="K12" i="7"/>
  <c r="K16" i="3" l="1"/>
  <c r="K45" i="3"/>
  <c r="K59" i="3"/>
  <c r="AC210" i="5"/>
  <c r="J5" i="7"/>
  <c r="K5" i="7"/>
  <c r="J6" i="7"/>
  <c r="K6" i="7"/>
  <c r="J7" i="7"/>
  <c r="K7" i="7"/>
  <c r="J8" i="7"/>
  <c r="K8" i="7"/>
  <c r="J9" i="7"/>
  <c r="K9" i="7"/>
  <c r="J10" i="7"/>
  <c r="K10" i="7"/>
  <c r="J11" i="7"/>
  <c r="K11" i="7"/>
  <c r="J12" i="7"/>
  <c r="J13" i="7"/>
  <c r="K13" i="7"/>
  <c r="J14" i="7"/>
  <c r="K14" i="7"/>
  <c r="J15" i="7"/>
  <c r="K15" i="7"/>
  <c r="J16" i="7"/>
  <c r="K16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J24" i="7"/>
  <c r="K24" i="7"/>
  <c r="J25" i="7"/>
  <c r="K25" i="7"/>
  <c r="J26" i="7"/>
  <c r="K26" i="7"/>
  <c r="J27" i="7"/>
  <c r="K27" i="7"/>
  <c r="J28" i="7"/>
  <c r="K28" i="7"/>
  <c r="J29" i="7"/>
  <c r="K29" i="7"/>
  <c r="J30" i="7"/>
  <c r="K30" i="7"/>
  <c r="J31" i="7"/>
  <c r="K31" i="7"/>
  <c r="J32" i="7"/>
  <c r="K32" i="7"/>
  <c r="J33" i="7"/>
  <c r="K33" i="7"/>
  <c r="J34" i="7"/>
  <c r="K34" i="7"/>
  <c r="J35" i="7"/>
  <c r="K35" i="7"/>
  <c r="J36" i="7"/>
  <c r="K36" i="7"/>
  <c r="J37" i="7"/>
  <c r="K37" i="7"/>
  <c r="J38" i="7"/>
  <c r="K38" i="7"/>
  <c r="J39" i="7"/>
  <c r="K39" i="7"/>
  <c r="J40" i="7"/>
  <c r="K40" i="7"/>
  <c r="J41" i="7"/>
  <c r="K41" i="7"/>
  <c r="J42" i="7"/>
  <c r="K42" i="7"/>
  <c r="J43" i="7"/>
  <c r="K43" i="7"/>
  <c r="J44" i="7"/>
  <c r="K44" i="7"/>
  <c r="J45" i="7"/>
  <c r="K45" i="7"/>
  <c r="J46" i="7"/>
  <c r="K46" i="7"/>
  <c r="J47" i="7"/>
  <c r="K47" i="7"/>
  <c r="J48" i="7"/>
  <c r="K48" i="7"/>
  <c r="J49" i="7"/>
  <c r="K49" i="7"/>
  <c r="J50" i="7"/>
  <c r="K50" i="7"/>
  <c r="J51" i="7"/>
  <c r="K51" i="7"/>
  <c r="J52" i="7"/>
  <c r="K52" i="7"/>
  <c r="J53" i="7"/>
  <c r="K53" i="7"/>
  <c r="J54" i="7"/>
  <c r="K54" i="7"/>
  <c r="J55" i="7"/>
  <c r="K55" i="7"/>
  <c r="J56" i="7"/>
  <c r="K56" i="7"/>
  <c r="J57" i="7"/>
  <c r="K57" i="7"/>
  <c r="J58" i="7"/>
  <c r="K58" i="7"/>
  <c r="J59" i="7"/>
  <c r="K59" i="7"/>
  <c r="J60" i="7"/>
  <c r="K60" i="7"/>
  <c r="J61" i="7"/>
  <c r="K61" i="7"/>
  <c r="J62" i="7"/>
  <c r="K62" i="7"/>
  <c r="J63" i="7"/>
  <c r="K63" i="7"/>
  <c r="J64" i="7"/>
  <c r="K64" i="7"/>
  <c r="J65" i="7"/>
  <c r="K65" i="7"/>
  <c r="J66" i="7"/>
  <c r="K66" i="7"/>
  <c r="J67" i="7"/>
  <c r="K67" i="7"/>
  <c r="J68" i="7"/>
  <c r="K68" i="7"/>
  <c r="J69" i="7"/>
  <c r="K69" i="7"/>
  <c r="J70" i="7"/>
  <c r="K70" i="7"/>
  <c r="J71" i="7"/>
  <c r="K71" i="7"/>
  <c r="H36" i="5" l="1"/>
  <c r="H11" i="5"/>
  <c r="U11" i="5" s="1"/>
  <c r="I9" i="5"/>
  <c r="J9" i="5" s="1"/>
  <c r="H189" i="5" l="1"/>
  <c r="I189" i="5"/>
  <c r="I196" i="6"/>
  <c r="I195" i="6"/>
  <c r="I209" i="5"/>
  <c r="K209" i="5" s="1"/>
  <c r="L209" i="5" s="1"/>
  <c r="I210" i="5"/>
  <c r="P193" i="5"/>
  <c r="P194" i="5"/>
  <c r="P196" i="5"/>
  <c r="P197" i="5"/>
  <c r="P199" i="5"/>
  <c r="P200" i="5"/>
  <c r="P202" i="5"/>
  <c r="P203" i="5"/>
  <c r="P205" i="5"/>
  <c r="P206" i="5"/>
  <c r="I192" i="5"/>
  <c r="K192" i="5" s="1"/>
  <c r="L192" i="5" s="1"/>
  <c r="I193" i="5"/>
  <c r="K193" i="5" s="1"/>
  <c r="L193" i="5" s="1"/>
  <c r="I194" i="5"/>
  <c r="K194" i="5" s="1"/>
  <c r="I195" i="5"/>
  <c r="K195" i="5" s="1"/>
  <c r="L195" i="5" s="1"/>
  <c r="I196" i="5"/>
  <c r="K196" i="5" s="1"/>
  <c r="L196" i="5" s="1"/>
  <c r="I197" i="5"/>
  <c r="K197" i="5" s="1"/>
  <c r="I198" i="5"/>
  <c r="K198" i="5" s="1"/>
  <c r="L198" i="5" s="1"/>
  <c r="I199" i="5"/>
  <c r="K199" i="5" s="1"/>
  <c r="L199" i="5" s="1"/>
  <c r="I200" i="5"/>
  <c r="K200" i="5" s="1"/>
  <c r="I201" i="5"/>
  <c r="K201" i="5" s="1"/>
  <c r="L201" i="5" s="1"/>
  <c r="I202" i="5"/>
  <c r="K202" i="5" s="1"/>
  <c r="L202" i="5" s="1"/>
  <c r="I203" i="5"/>
  <c r="K203" i="5" s="1"/>
  <c r="L203" i="5" s="1"/>
  <c r="I204" i="5"/>
  <c r="K204" i="5" s="1"/>
  <c r="L204" i="5" s="1"/>
  <c r="K205" i="5"/>
  <c r="L205" i="5" s="1"/>
  <c r="I207" i="5"/>
  <c r="I208" i="5"/>
  <c r="K208" i="5" s="1"/>
  <c r="L208" i="5" s="1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2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2" i="4"/>
  <c r="L12" i="4" l="1"/>
  <c r="L3" i="4"/>
  <c r="L41" i="4"/>
  <c r="K206" i="5"/>
  <c r="L206" i="5" s="1"/>
  <c r="Q204" i="5" s="1"/>
  <c r="K207" i="5"/>
  <c r="L207" i="5" s="1"/>
  <c r="Q207" i="5" s="1"/>
  <c r="S207" i="5" s="1"/>
  <c r="J210" i="5"/>
  <c r="K210" i="5"/>
  <c r="L210" i="5" s="1"/>
  <c r="Q210" i="5" s="1"/>
  <c r="S210" i="5" s="1"/>
  <c r="J189" i="5"/>
  <c r="Q201" i="5"/>
  <c r="S201" i="5" s="1"/>
  <c r="L200" i="5"/>
  <c r="Q198" i="5" s="1"/>
  <c r="S198" i="5" s="1"/>
  <c r="L197" i="5"/>
  <c r="Q195" i="5" s="1"/>
  <c r="S195" i="5" s="1"/>
  <c r="L194" i="5"/>
  <c r="AC3" i="8"/>
  <c r="G70" i="8"/>
  <c r="H70" i="8" s="1"/>
  <c r="M210" i="5" l="1"/>
  <c r="O210" i="5" s="1"/>
  <c r="AD210" i="5"/>
  <c r="S204" i="5"/>
  <c r="Q192" i="5"/>
  <c r="S192" i="5" s="1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8" i="9"/>
  <c r="H19" i="9"/>
  <c r="H20" i="9"/>
  <c r="H21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2" i="9"/>
  <c r="U6" i="20"/>
  <c r="X7" i="20"/>
  <c r="X8" i="20"/>
  <c r="X9" i="20"/>
  <c r="X10" i="20"/>
  <c r="X11" i="20"/>
  <c r="X6" i="20"/>
  <c r="U7" i="20"/>
  <c r="U8" i="20"/>
  <c r="U9" i="20"/>
  <c r="U10" i="20"/>
  <c r="U11" i="20"/>
  <c r="N22" i="20"/>
  <c r="N23" i="20"/>
  <c r="N24" i="20"/>
  <c r="N21" i="20"/>
  <c r="M22" i="20"/>
  <c r="M23" i="20"/>
  <c r="M24" i="20"/>
  <c r="M21" i="20"/>
  <c r="N16" i="20"/>
  <c r="N17" i="20"/>
  <c r="N18" i="20"/>
  <c r="N15" i="20"/>
  <c r="M16" i="20"/>
  <c r="M17" i="20"/>
  <c r="M18" i="20"/>
  <c r="M15" i="20"/>
  <c r="H20" i="20"/>
  <c r="I21" i="20"/>
  <c r="I22" i="20"/>
  <c r="I23" i="20"/>
  <c r="I20" i="20"/>
  <c r="I14" i="20"/>
  <c r="H23" i="20"/>
  <c r="H21" i="20"/>
  <c r="H22" i="20"/>
  <c r="I15" i="20"/>
  <c r="I16" i="20"/>
  <c r="I17" i="20"/>
  <c r="H15" i="20"/>
  <c r="H16" i="20"/>
  <c r="H17" i="20"/>
  <c r="H14" i="20"/>
  <c r="K23" i="9" l="1"/>
  <c r="K93" i="9"/>
  <c r="K126" i="9"/>
  <c r="I209" i="6"/>
  <c r="K209" i="6" s="1"/>
  <c r="L209" i="6" s="1"/>
  <c r="I208" i="6"/>
  <c r="K208" i="6" s="1"/>
  <c r="L208" i="6" s="1"/>
  <c r="I207" i="6"/>
  <c r="H209" i="6"/>
  <c r="H208" i="6"/>
  <c r="H207" i="6"/>
  <c r="I206" i="6"/>
  <c r="H206" i="6"/>
  <c r="I205" i="6"/>
  <c r="K205" i="6" s="1"/>
  <c r="L205" i="6" s="1"/>
  <c r="H205" i="6"/>
  <c r="I204" i="6"/>
  <c r="K204" i="6" s="1"/>
  <c r="L204" i="6" s="1"/>
  <c r="H204" i="6"/>
  <c r="I203" i="6"/>
  <c r="I202" i="6"/>
  <c r="K202" i="6" s="1"/>
  <c r="L202" i="6" s="1"/>
  <c r="I201" i="6"/>
  <c r="H203" i="6"/>
  <c r="H202" i="6"/>
  <c r="H201" i="6"/>
  <c r="H209" i="5"/>
  <c r="J209" i="5" s="1"/>
  <c r="H208" i="5"/>
  <c r="J208" i="5" s="1"/>
  <c r="H207" i="5"/>
  <c r="H206" i="5"/>
  <c r="J206" i="5" s="1"/>
  <c r="J205" i="5"/>
  <c r="H204" i="5"/>
  <c r="J204" i="5" s="1"/>
  <c r="M204" i="5" s="1"/>
  <c r="H203" i="5"/>
  <c r="J203" i="5" s="1"/>
  <c r="H202" i="5"/>
  <c r="J202" i="5" s="1"/>
  <c r="H201" i="5"/>
  <c r="J201" i="5" s="1"/>
  <c r="K196" i="6"/>
  <c r="L196" i="6" s="1"/>
  <c r="K195" i="6"/>
  <c r="L195" i="6" s="1"/>
  <c r="H147" i="8"/>
  <c r="H148" i="8"/>
  <c r="J201" i="6" l="1"/>
  <c r="J203" i="6"/>
  <c r="J209" i="6"/>
  <c r="K203" i="6"/>
  <c r="L203" i="6" s="1"/>
  <c r="AD201" i="5"/>
  <c r="J207" i="5"/>
  <c r="M207" i="5" s="1"/>
  <c r="AD204" i="5"/>
  <c r="J204" i="6"/>
  <c r="J205" i="6"/>
  <c r="J206" i="6"/>
  <c r="U204" i="5"/>
  <c r="T207" i="5"/>
  <c r="U207" i="5"/>
  <c r="O201" i="6"/>
  <c r="P201" i="6"/>
  <c r="T203" i="5"/>
  <c r="O202" i="6"/>
  <c r="P202" i="6"/>
  <c r="P204" i="6"/>
  <c r="O204" i="6"/>
  <c r="M201" i="5"/>
  <c r="O201" i="5" s="1"/>
  <c r="U203" i="5"/>
  <c r="P203" i="6"/>
  <c r="O203" i="6"/>
  <c r="K201" i="6"/>
  <c r="L201" i="6" s="1"/>
  <c r="O205" i="6"/>
  <c r="P205" i="6"/>
  <c r="O206" i="6"/>
  <c r="P206" i="6"/>
  <c r="K206" i="6"/>
  <c r="L206" i="6" s="1"/>
  <c r="N204" i="6" s="1"/>
  <c r="J207" i="6"/>
  <c r="J202" i="6"/>
  <c r="M201" i="6" s="1"/>
  <c r="P207" i="6"/>
  <c r="O207" i="6"/>
  <c r="J208" i="6"/>
  <c r="K207" i="6"/>
  <c r="L207" i="6" s="1"/>
  <c r="N207" i="6" s="1"/>
  <c r="P201" i="5"/>
  <c r="T202" i="5"/>
  <c r="T204" i="5"/>
  <c r="U208" i="5"/>
  <c r="T201" i="5"/>
  <c r="T206" i="5"/>
  <c r="U201" i="5"/>
  <c r="U202" i="5"/>
  <c r="O204" i="5"/>
  <c r="T205" i="5"/>
  <c r="U206" i="5"/>
  <c r="T209" i="5"/>
  <c r="U205" i="5"/>
  <c r="T208" i="5"/>
  <c r="U209" i="5"/>
  <c r="V209" i="5" s="1"/>
  <c r="X209" i="5" s="1"/>
  <c r="Z209" i="5" s="1"/>
  <c r="G33" i="8"/>
  <c r="G9" i="8"/>
  <c r="H9" i="8" s="1"/>
  <c r="T70" i="8"/>
  <c r="G146" i="8"/>
  <c r="T146" i="8" s="1"/>
  <c r="N201" i="6" l="1"/>
  <c r="M204" i="6"/>
  <c r="AD207" i="5"/>
  <c r="AA207" i="5"/>
  <c r="AB207" i="5" s="1"/>
  <c r="V208" i="5"/>
  <c r="X208" i="5" s="1"/>
  <c r="Z208" i="5" s="1"/>
  <c r="V201" i="5"/>
  <c r="AC201" i="5"/>
  <c r="AA204" i="5"/>
  <c r="AB204" i="5" s="1"/>
  <c r="V204" i="5"/>
  <c r="AC204" i="5"/>
  <c r="V205" i="5"/>
  <c r="AA201" i="5"/>
  <c r="AB201" i="5" s="1"/>
  <c r="V203" i="5"/>
  <c r="V202" i="5"/>
  <c r="V207" i="5"/>
  <c r="AC207" i="5"/>
  <c r="V206" i="5"/>
  <c r="M207" i="6"/>
  <c r="H146" i="8"/>
  <c r="P207" i="5"/>
  <c r="O207" i="5"/>
  <c r="P204" i="5"/>
  <c r="AG115" i="8"/>
  <c r="AG121" i="8"/>
  <c r="AK3" i="8"/>
  <c r="X207" i="5" l="1"/>
  <c r="Z207" i="5" s="1"/>
  <c r="X201" i="5"/>
  <c r="Z201" i="5" s="1"/>
  <c r="X204" i="5"/>
  <c r="Z204" i="5" s="1"/>
  <c r="I200" i="6"/>
  <c r="K200" i="6" s="1"/>
  <c r="L200" i="6" s="1"/>
  <c r="I199" i="6"/>
  <c r="K199" i="6" s="1"/>
  <c r="L199" i="6" s="1"/>
  <c r="I198" i="6"/>
  <c r="K198" i="6" s="1"/>
  <c r="L198" i="6" s="1"/>
  <c r="G145" i="8"/>
  <c r="G69" i="8"/>
  <c r="T69" i="8" s="1"/>
  <c r="N198" i="6" l="1"/>
  <c r="H145" i="8"/>
  <c r="T145" i="8"/>
  <c r="H69" i="8"/>
  <c r="H200" i="6"/>
  <c r="H199" i="6"/>
  <c r="H198" i="6"/>
  <c r="I197" i="6"/>
  <c r="K197" i="6" s="1"/>
  <c r="L197" i="6" s="1"/>
  <c r="N195" i="6" s="1"/>
  <c r="I194" i="6"/>
  <c r="K194" i="6" s="1"/>
  <c r="L194" i="6" s="1"/>
  <c r="I193" i="6"/>
  <c r="I192" i="6"/>
  <c r="H200" i="5"/>
  <c r="T200" i="5" s="1"/>
  <c r="H199" i="5"/>
  <c r="H198" i="5"/>
  <c r="T198" i="5" s="1"/>
  <c r="G68" i="8"/>
  <c r="G144" i="8"/>
  <c r="K192" i="6" l="1"/>
  <c r="L192" i="6" s="1"/>
  <c r="O198" i="6"/>
  <c r="P198" i="6"/>
  <c r="K193" i="6"/>
  <c r="L193" i="6" s="1"/>
  <c r="P199" i="6"/>
  <c r="O199" i="6"/>
  <c r="J199" i="6"/>
  <c r="P200" i="6"/>
  <c r="O200" i="6"/>
  <c r="J200" i="6"/>
  <c r="J198" i="6"/>
  <c r="M198" i="6" s="1"/>
  <c r="T199" i="5"/>
  <c r="J199" i="5"/>
  <c r="U199" i="5"/>
  <c r="J200" i="5"/>
  <c r="U200" i="5"/>
  <c r="J198" i="5"/>
  <c r="U198" i="5"/>
  <c r="H144" i="8"/>
  <c r="T144" i="8"/>
  <c r="H68" i="8"/>
  <c r="T68" i="8"/>
  <c r="H197" i="6"/>
  <c r="J197" i="6" s="1"/>
  <c r="H196" i="6"/>
  <c r="H195" i="6"/>
  <c r="H194" i="6"/>
  <c r="J194" i="6" s="1"/>
  <c r="H193" i="6"/>
  <c r="H197" i="5"/>
  <c r="H196" i="5"/>
  <c r="H195" i="5"/>
  <c r="H194" i="5"/>
  <c r="T194" i="5" s="1"/>
  <c r="H193" i="5"/>
  <c r="H192" i="5"/>
  <c r="R198" i="6" l="1"/>
  <c r="S198" i="6" s="1"/>
  <c r="AD198" i="5"/>
  <c r="V198" i="5"/>
  <c r="AC198" i="5"/>
  <c r="V199" i="5"/>
  <c r="V200" i="5"/>
  <c r="AA198" i="5"/>
  <c r="AB198" i="5" s="1"/>
  <c r="P196" i="6"/>
  <c r="O196" i="6"/>
  <c r="J196" i="6"/>
  <c r="O193" i="6"/>
  <c r="P193" i="6"/>
  <c r="N192" i="6"/>
  <c r="O197" i="6"/>
  <c r="P197" i="6"/>
  <c r="O194" i="6"/>
  <c r="P194" i="6"/>
  <c r="P195" i="6"/>
  <c r="O195" i="6"/>
  <c r="J195" i="6"/>
  <c r="J193" i="6"/>
  <c r="M198" i="5"/>
  <c r="T195" i="5"/>
  <c r="J195" i="5"/>
  <c r="U195" i="5"/>
  <c r="J192" i="5"/>
  <c r="U192" i="5"/>
  <c r="T196" i="5"/>
  <c r="J196" i="5"/>
  <c r="U196" i="5"/>
  <c r="J193" i="5"/>
  <c r="U193" i="5"/>
  <c r="T197" i="5"/>
  <c r="J197" i="5"/>
  <c r="U197" i="5"/>
  <c r="T193" i="5"/>
  <c r="J194" i="5"/>
  <c r="U194" i="5"/>
  <c r="G67" i="8"/>
  <c r="G66" i="8"/>
  <c r="G143" i="8"/>
  <c r="T143" i="8" s="1"/>
  <c r="G142" i="8"/>
  <c r="H142" i="8" s="1"/>
  <c r="V192" i="5"/>
  <c r="T192" i="5"/>
  <c r="P166" i="5"/>
  <c r="P167" i="5"/>
  <c r="P169" i="5"/>
  <c r="P170" i="5"/>
  <c r="P172" i="5"/>
  <c r="P173" i="5"/>
  <c r="P175" i="5"/>
  <c r="P176" i="5"/>
  <c r="P178" i="5"/>
  <c r="P179" i="5"/>
  <c r="P181" i="5"/>
  <c r="P182" i="5"/>
  <c r="P184" i="5"/>
  <c r="P185" i="5"/>
  <c r="P187" i="5"/>
  <c r="P188" i="5"/>
  <c r="P190" i="5"/>
  <c r="P191" i="5"/>
  <c r="I180" i="5"/>
  <c r="I181" i="5"/>
  <c r="K181" i="5" s="1"/>
  <c r="L181" i="5" s="1"/>
  <c r="I182" i="5"/>
  <c r="K182" i="5" s="1"/>
  <c r="I183" i="5"/>
  <c r="K183" i="5" s="1"/>
  <c r="L183" i="5" s="1"/>
  <c r="I184" i="5"/>
  <c r="K184" i="5" s="1"/>
  <c r="L184" i="5" s="1"/>
  <c r="I185" i="5"/>
  <c r="K185" i="5" s="1"/>
  <c r="L185" i="5" s="1"/>
  <c r="I186" i="5"/>
  <c r="K186" i="5" s="1"/>
  <c r="L186" i="5" s="1"/>
  <c r="I187" i="5"/>
  <c r="K187" i="5" s="1"/>
  <c r="L187" i="5" s="1"/>
  <c r="I188" i="5"/>
  <c r="K188" i="5" s="1"/>
  <c r="K189" i="5"/>
  <c r="L189" i="5" s="1"/>
  <c r="I190" i="5"/>
  <c r="K190" i="5" s="1"/>
  <c r="L190" i="5" s="1"/>
  <c r="I191" i="5"/>
  <c r="K191" i="5" s="1"/>
  <c r="H190" i="6"/>
  <c r="H191" i="6"/>
  <c r="H192" i="6"/>
  <c r="I191" i="6"/>
  <c r="I190" i="6"/>
  <c r="J190" i="6" s="1"/>
  <c r="I189" i="6"/>
  <c r="AD195" i="5" l="1"/>
  <c r="K190" i="6"/>
  <c r="L190" i="6" s="1"/>
  <c r="AD192" i="5"/>
  <c r="M195" i="6"/>
  <c r="J191" i="6"/>
  <c r="X198" i="5"/>
  <c r="Z198" i="5" s="1"/>
  <c r="V195" i="5"/>
  <c r="AC195" i="5"/>
  <c r="V194" i="5"/>
  <c r="V196" i="5"/>
  <c r="V193" i="5"/>
  <c r="V197" i="5"/>
  <c r="AC192" i="5"/>
  <c r="AA195" i="5"/>
  <c r="AB195" i="5" s="1"/>
  <c r="P191" i="6"/>
  <c r="O191" i="6"/>
  <c r="K191" i="6"/>
  <c r="L191" i="6" s="1"/>
  <c r="T142" i="8"/>
  <c r="O190" i="6"/>
  <c r="P190" i="6"/>
  <c r="K189" i="6"/>
  <c r="L189" i="6" s="1"/>
  <c r="N189" i="6" s="1"/>
  <c r="P192" i="6"/>
  <c r="O192" i="6"/>
  <c r="J192" i="6"/>
  <c r="M192" i="6" s="1"/>
  <c r="P198" i="5"/>
  <c r="O198" i="5"/>
  <c r="M192" i="5"/>
  <c r="Q183" i="5"/>
  <c r="S183" i="5" s="1"/>
  <c r="L188" i="5"/>
  <c r="Q186" i="5" s="1"/>
  <c r="S186" i="5" s="1"/>
  <c r="L191" i="5"/>
  <c r="Q189" i="5" s="1"/>
  <c r="S189" i="5" s="1"/>
  <c r="K180" i="5"/>
  <c r="L180" i="5" s="1"/>
  <c r="L182" i="5"/>
  <c r="M195" i="5"/>
  <c r="AA192" i="5"/>
  <c r="AB192" i="5" s="1"/>
  <c r="H143" i="8"/>
  <c r="H66" i="8"/>
  <c r="T66" i="8"/>
  <c r="H67" i="8"/>
  <c r="T67" i="8"/>
  <c r="H189" i="6"/>
  <c r="J189" i="6" s="1"/>
  <c r="M189" i="6" s="1"/>
  <c r="I188" i="6"/>
  <c r="K188" i="6" s="1"/>
  <c r="L188" i="6" s="1"/>
  <c r="I187" i="6"/>
  <c r="I186" i="6"/>
  <c r="I185" i="6"/>
  <c r="I184" i="6"/>
  <c r="I183" i="6"/>
  <c r="H191" i="5"/>
  <c r="J191" i="5" s="1"/>
  <c r="H190" i="5"/>
  <c r="U189" i="5"/>
  <c r="V189" i="5" s="1"/>
  <c r="G141" i="8"/>
  <c r="H141" i="8" s="1"/>
  <c r="G65" i="8"/>
  <c r="H188" i="6"/>
  <c r="P188" i="6" s="1"/>
  <c r="H187" i="6"/>
  <c r="P187" i="6" s="1"/>
  <c r="H186" i="6"/>
  <c r="P186" i="6" s="1"/>
  <c r="H185" i="6"/>
  <c r="P185" i="6" s="1"/>
  <c r="H184" i="6"/>
  <c r="P184" i="6" s="1"/>
  <c r="H183" i="6"/>
  <c r="P183" i="6" s="1"/>
  <c r="H188" i="5"/>
  <c r="J188" i="5" s="1"/>
  <c r="H187" i="5"/>
  <c r="J187" i="5" s="1"/>
  <c r="H186" i="5"/>
  <c r="H185" i="5"/>
  <c r="H184" i="5"/>
  <c r="J184" i="5" s="1"/>
  <c r="H183" i="5"/>
  <c r="G64" i="8"/>
  <c r="G140" i="8"/>
  <c r="H140" i="8" s="1"/>
  <c r="X195" i="5" l="1"/>
  <c r="Z195" i="5" s="1"/>
  <c r="O187" i="6"/>
  <c r="J188" i="6"/>
  <c r="O183" i="6"/>
  <c r="X192" i="5"/>
  <c r="Z192" i="5" s="1"/>
  <c r="J186" i="6"/>
  <c r="K186" i="6"/>
  <c r="L186" i="6" s="1"/>
  <c r="O185" i="6"/>
  <c r="J183" i="6"/>
  <c r="K183" i="6"/>
  <c r="L183" i="6" s="1"/>
  <c r="J185" i="6"/>
  <c r="K185" i="6"/>
  <c r="L185" i="6" s="1"/>
  <c r="J187" i="6"/>
  <c r="K187" i="6"/>
  <c r="L187" i="6" s="1"/>
  <c r="P189" i="6"/>
  <c r="O189" i="6"/>
  <c r="J184" i="6"/>
  <c r="K184" i="6"/>
  <c r="L184" i="6" s="1"/>
  <c r="O184" i="6"/>
  <c r="O186" i="6"/>
  <c r="O188" i="6"/>
  <c r="P192" i="5"/>
  <c r="O192" i="5"/>
  <c r="P195" i="5"/>
  <c r="O195" i="5"/>
  <c r="Q180" i="5"/>
  <c r="S180" i="5" s="1"/>
  <c r="U190" i="5"/>
  <c r="T190" i="5"/>
  <c r="U187" i="5"/>
  <c r="T187" i="5"/>
  <c r="T184" i="5"/>
  <c r="U184" i="5"/>
  <c r="U186" i="5"/>
  <c r="T186" i="5"/>
  <c r="U183" i="5"/>
  <c r="T183" i="5"/>
  <c r="U191" i="5"/>
  <c r="T191" i="5"/>
  <c r="J190" i="5"/>
  <c r="J186" i="5"/>
  <c r="T188" i="5"/>
  <c r="U188" i="5"/>
  <c r="T185" i="5"/>
  <c r="U185" i="5"/>
  <c r="T189" i="5"/>
  <c r="J185" i="5"/>
  <c r="J183" i="5"/>
  <c r="AD183" i="5" s="1"/>
  <c r="H64" i="8"/>
  <c r="T64" i="8"/>
  <c r="H65" i="8"/>
  <c r="T65" i="8"/>
  <c r="T141" i="8"/>
  <c r="T140" i="8"/>
  <c r="H174" i="5"/>
  <c r="U174" i="5" s="1"/>
  <c r="I182" i="6"/>
  <c r="I181" i="6"/>
  <c r="K181" i="6" s="1"/>
  <c r="L181" i="6" s="1"/>
  <c r="I180" i="6"/>
  <c r="O180" i="6"/>
  <c r="H182" i="6"/>
  <c r="O182" i="6" s="1"/>
  <c r="H181" i="6"/>
  <c r="P181" i="6" s="1"/>
  <c r="H180" i="6"/>
  <c r="P180" i="6" s="1"/>
  <c r="I179" i="6"/>
  <c r="K179" i="6" s="1"/>
  <c r="L179" i="6" s="1"/>
  <c r="I178" i="6"/>
  <c r="I177" i="6"/>
  <c r="I176" i="6"/>
  <c r="K176" i="6" s="1"/>
  <c r="L176" i="6" s="1"/>
  <c r="I175" i="6"/>
  <c r="K175" i="6" s="1"/>
  <c r="L175" i="6" s="1"/>
  <c r="I174" i="6"/>
  <c r="K174" i="6" s="1"/>
  <c r="L174" i="6" s="1"/>
  <c r="I179" i="5"/>
  <c r="K179" i="5" s="1"/>
  <c r="I178" i="5"/>
  <c r="K178" i="5" s="1"/>
  <c r="L178" i="5" s="1"/>
  <c r="I177" i="5"/>
  <c r="I176" i="5"/>
  <c r="K176" i="5" s="1"/>
  <c r="I175" i="5"/>
  <c r="I174" i="5"/>
  <c r="K174" i="5" s="1"/>
  <c r="L174" i="5" s="1"/>
  <c r="T174" i="5"/>
  <c r="H182" i="5"/>
  <c r="H181" i="5"/>
  <c r="U181" i="5" s="1"/>
  <c r="V181" i="5" s="1"/>
  <c r="H180" i="5"/>
  <c r="G139" i="8"/>
  <c r="H139" i="8" s="1"/>
  <c r="G138" i="8"/>
  <c r="H138" i="8" s="1"/>
  <c r="G63" i="8"/>
  <c r="G62" i="8"/>
  <c r="M186" i="5" l="1"/>
  <c r="AD186" i="5"/>
  <c r="M189" i="5"/>
  <c r="O189" i="5" s="1"/>
  <c r="AD189" i="5"/>
  <c r="V191" i="5"/>
  <c r="N174" i="6"/>
  <c r="J182" i="6"/>
  <c r="M183" i="5"/>
  <c r="O183" i="5" s="1"/>
  <c r="N186" i="6"/>
  <c r="M183" i="6"/>
  <c r="J180" i="6"/>
  <c r="N183" i="6"/>
  <c r="M186" i="6"/>
  <c r="P189" i="5"/>
  <c r="AA189" i="5"/>
  <c r="AB189" i="5" s="1"/>
  <c r="P186" i="5"/>
  <c r="O186" i="5"/>
  <c r="AA183" i="5"/>
  <c r="AB183" i="5" s="1"/>
  <c r="V174" i="5"/>
  <c r="L179" i="5"/>
  <c r="U182" i="5"/>
  <c r="V182" i="5" s="1"/>
  <c r="T182" i="5"/>
  <c r="J182" i="5"/>
  <c r="AA186" i="5"/>
  <c r="AB186" i="5" s="1"/>
  <c r="L176" i="5"/>
  <c r="V185" i="5"/>
  <c r="V186" i="5"/>
  <c r="AC186" i="5"/>
  <c r="V187" i="5"/>
  <c r="U180" i="5"/>
  <c r="V180" i="5" s="1"/>
  <c r="T180" i="5"/>
  <c r="J180" i="5"/>
  <c r="J174" i="5"/>
  <c r="AC183" i="5"/>
  <c r="V183" i="5"/>
  <c r="V184" i="5"/>
  <c r="T181" i="5"/>
  <c r="J181" i="5"/>
  <c r="AC189" i="5"/>
  <c r="V188" i="5"/>
  <c r="V190" i="5"/>
  <c r="X189" i="5" s="1"/>
  <c r="Z189" i="5" s="1"/>
  <c r="H62" i="8"/>
  <c r="T62" i="8"/>
  <c r="H63" i="8"/>
  <c r="T63" i="8"/>
  <c r="O181" i="6"/>
  <c r="P182" i="6"/>
  <c r="T139" i="8"/>
  <c r="J181" i="6"/>
  <c r="K178" i="6"/>
  <c r="L178" i="6" s="1"/>
  <c r="K180" i="6"/>
  <c r="L180" i="6" s="1"/>
  <c r="K182" i="6"/>
  <c r="L182" i="6" s="1"/>
  <c r="K177" i="6"/>
  <c r="L177" i="6" s="1"/>
  <c r="N177" i="6" s="1"/>
  <c r="K177" i="5"/>
  <c r="L177" i="5" s="1"/>
  <c r="K175" i="5"/>
  <c r="L175" i="5" s="1"/>
  <c r="T138" i="8"/>
  <c r="G137" i="8"/>
  <c r="H137" i="8" s="1"/>
  <c r="G61" i="8"/>
  <c r="T61" i="8" s="1"/>
  <c r="H179" i="6"/>
  <c r="J179" i="6" s="1"/>
  <c r="H178" i="6"/>
  <c r="H177" i="6"/>
  <c r="H176" i="6"/>
  <c r="H175" i="6"/>
  <c r="H174" i="6"/>
  <c r="H179" i="5"/>
  <c r="J179" i="5" s="1"/>
  <c r="H178" i="5"/>
  <c r="H177" i="5"/>
  <c r="J177" i="5" s="1"/>
  <c r="H176" i="5"/>
  <c r="H175" i="5"/>
  <c r="AD180" i="5" l="1"/>
  <c r="Q177" i="5"/>
  <c r="S177" i="5" s="1"/>
  <c r="P183" i="5"/>
  <c r="Q174" i="5"/>
  <c r="S174" i="5" s="1"/>
  <c r="N180" i="6"/>
  <c r="M180" i="6"/>
  <c r="M180" i="5"/>
  <c r="X186" i="5"/>
  <c r="Z186" i="5" s="1"/>
  <c r="AA180" i="5"/>
  <c r="AB180" i="5" s="1"/>
  <c r="AC180" i="5"/>
  <c r="X183" i="5"/>
  <c r="Z183" i="5" s="1"/>
  <c r="H61" i="8"/>
  <c r="X180" i="5"/>
  <c r="Z180" i="5" s="1"/>
  <c r="P176" i="6"/>
  <c r="O176" i="6"/>
  <c r="P177" i="6"/>
  <c r="O177" i="6"/>
  <c r="J176" i="6"/>
  <c r="P174" i="6"/>
  <c r="J174" i="6"/>
  <c r="O174" i="6"/>
  <c r="O178" i="6"/>
  <c r="P178" i="6"/>
  <c r="J177" i="6"/>
  <c r="O175" i="6"/>
  <c r="P175" i="6"/>
  <c r="J175" i="6"/>
  <c r="P179" i="6"/>
  <c r="O179" i="6"/>
  <c r="J178" i="6"/>
  <c r="U178" i="5"/>
  <c r="T178" i="5"/>
  <c r="U179" i="5"/>
  <c r="T179" i="5"/>
  <c r="J178" i="5"/>
  <c r="M177" i="5" s="1"/>
  <c r="T175" i="5"/>
  <c r="U175" i="5"/>
  <c r="T176" i="5"/>
  <c r="U176" i="5"/>
  <c r="T177" i="5"/>
  <c r="U177" i="5"/>
  <c r="J176" i="5"/>
  <c r="J175" i="5"/>
  <c r="T137" i="8"/>
  <c r="I173" i="6"/>
  <c r="I172" i="6"/>
  <c r="I171" i="6"/>
  <c r="K171" i="6" s="1"/>
  <c r="L171" i="6" s="1"/>
  <c r="H173" i="6"/>
  <c r="P173" i="6" s="1"/>
  <c r="H172" i="6"/>
  <c r="O172" i="6" s="1"/>
  <c r="H171" i="6"/>
  <c r="O171" i="6" s="1"/>
  <c r="I173" i="5"/>
  <c r="K173" i="5" s="1"/>
  <c r="I172" i="5"/>
  <c r="I171" i="5"/>
  <c r="G136" i="8"/>
  <c r="H136" i="8" s="1"/>
  <c r="G60" i="8"/>
  <c r="M174" i="5" l="1"/>
  <c r="O173" i="6"/>
  <c r="AD174" i="5"/>
  <c r="AD177" i="5"/>
  <c r="J173" i="6"/>
  <c r="M177" i="6"/>
  <c r="M174" i="6"/>
  <c r="AA177" i="5"/>
  <c r="AB177" i="5" s="1"/>
  <c r="P174" i="5"/>
  <c r="O174" i="5"/>
  <c r="P177" i="5"/>
  <c r="O177" i="5"/>
  <c r="P180" i="5"/>
  <c r="O180" i="5"/>
  <c r="L173" i="5"/>
  <c r="V176" i="5"/>
  <c r="V178" i="5"/>
  <c r="AA174" i="5"/>
  <c r="AB174" i="5" s="1"/>
  <c r="V177" i="5"/>
  <c r="AC177" i="5"/>
  <c r="V175" i="5"/>
  <c r="AC174" i="5"/>
  <c r="V179" i="5"/>
  <c r="H60" i="8"/>
  <c r="T60" i="8"/>
  <c r="P172" i="6"/>
  <c r="J171" i="6"/>
  <c r="P171" i="6"/>
  <c r="T136" i="8"/>
  <c r="K173" i="6"/>
  <c r="L173" i="6" s="1"/>
  <c r="J172" i="6"/>
  <c r="K172" i="6"/>
  <c r="L172" i="6" s="1"/>
  <c r="K172" i="5"/>
  <c r="L172" i="5" s="1"/>
  <c r="K171" i="5"/>
  <c r="L171" i="5" s="1"/>
  <c r="G135" i="8"/>
  <c r="H135" i="8" s="1"/>
  <c r="G134" i="8"/>
  <c r="H134" i="8" s="1"/>
  <c r="G59" i="8"/>
  <c r="G58" i="8"/>
  <c r="I170" i="6"/>
  <c r="K170" i="6" s="1"/>
  <c r="L170" i="6" s="1"/>
  <c r="I169" i="6"/>
  <c r="I168" i="6"/>
  <c r="H170" i="6"/>
  <c r="P170" i="6" s="1"/>
  <c r="H169" i="6"/>
  <c r="P169" i="6" s="1"/>
  <c r="H168" i="6"/>
  <c r="P168" i="6" s="1"/>
  <c r="I167" i="6"/>
  <c r="I166" i="6"/>
  <c r="I165" i="6"/>
  <c r="K165" i="6" s="1"/>
  <c r="L165" i="6" s="1"/>
  <c r="H167" i="6"/>
  <c r="P167" i="6" s="1"/>
  <c r="H166" i="6"/>
  <c r="P166" i="6" s="1"/>
  <c r="H165" i="6"/>
  <c r="P165" i="6" s="1"/>
  <c r="H173" i="5"/>
  <c r="H172" i="5"/>
  <c r="H171" i="5"/>
  <c r="I170" i="5"/>
  <c r="K170" i="5" s="1"/>
  <c r="I169" i="5"/>
  <c r="K169" i="5" s="1"/>
  <c r="L169" i="5" s="1"/>
  <c r="I168" i="5"/>
  <c r="K168" i="5" s="1"/>
  <c r="L168" i="5" s="1"/>
  <c r="H170" i="5"/>
  <c r="U170" i="5" s="1"/>
  <c r="H169" i="5"/>
  <c r="U169" i="5" s="1"/>
  <c r="H168" i="5"/>
  <c r="U168" i="5" s="1"/>
  <c r="I167" i="5"/>
  <c r="K167" i="5" s="1"/>
  <c r="I166" i="5"/>
  <c r="K166" i="5" s="1"/>
  <c r="L166" i="5" s="1"/>
  <c r="I165" i="5"/>
  <c r="K165" i="5" s="1"/>
  <c r="L165" i="5" s="1"/>
  <c r="H167" i="5"/>
  <c r="U167" i="5" s="1"/>
  <c r="H166" i="5"/>
  <c r="U166" i="5" s="1"/>
  <c r="H165" i="5"/>
  <c r="U165" i="5" s="1"/>
  <c r="O165" i="6" l="1"/>
  <c r="R165" i="6"/>
  <c r="S165" i="6" s="1"/>
  <c r="O167" i="6"/>
  <c r="Q171" i="5"/>
  <c r="S171" i="5" s="1"/>
  <c r="N171" i="6"/>
  <c r="X177" i="5"/>
  <c r="Z177" i="5" s="1"/>
  <c r="T168" i="5"/>
  <c r="T165" i="5"/>
  <c r="L167" i="5"/>
  <c r="Q165" i="5" s="1"/>
  <c r="S165" i="5" s="1"/>
  <c r="X174" i="5"/>
  <c r="Z174" i="5" s="1"/>
  <c r="T167" i="5"/>
  <c r="L170" i="5"/>
  <c r="Q168" i="5" s="1"/>
  <c r="S168" i="5" s="1"/>
  <c r="T135" i="8"/>
  <c r="H58" i="8"/>
  <c r="T58" i="8"/>
  <c r="H59" i="8"/>
  <c r="T59" i="8"/>
  <c r="J166" i="6"/>
  <c r="K166" i="6"/>
  <c r="L166" i="6" s="1"/>
  <c r="J165" i="6"/>
  <c r="J169" i="6"/>
  <c r="K169" i="6"/>
  <c r="L169" i="6" s="1"/>
  <c r="O169" i="6"/>
  <c r="J166" i="5"/>
  <c r="J167" i="6"/>
  <c r="K167" i="6"/>
  <c r="L167" i="6" s="1"/>
  <c r="O168" i="6"/>
  <c r="O170" i="6"/>
  <c r="J169" i="5"/>
  <c r="O166" i="6"/>
  <c r="J168" i="6"/>
  <c r="K168" i="6"/>
  <c r="L168" i="6" s="1"/>
  <c r="J170" i="6"/>
  <c r="M171" i="6"/>
  <c r="V165" i="5"/>
  <c r="AC165" i="5"/>
  <c r="J165" i="5"/>
  <c r="V168" i="5"/>
  <c r="AC168" i="5"/>
  <c r="J168" i="5"/>
  <c r="T171" i="5"/>
  <c r="U171" i="5"/>
  <c r="V166" i="5"/>
  <c r="V169" i="5"/>
  <c r="T170" i="5"/>
  <c r="T172" i="5"/>
  <c r="U172" i="5"/>
  <c r="J172" i="5"/>
  <c r="V167" i="5"/>
  <c r="T166" i="5"/>
  <c r="J167" i="5"/>
  <c r="V170" i="5"/>
  <c r="T169" i="5"/>
  <c r="J170" i="5"/>
  <c r="U173" i="5"/>
  <c r="T173" i="5"/>
  <c r="J173" i="5"/>
  <c r="J171" i="5"/>
  <c r="T134" i="8"/>
  <c r="I115" i="6"/>
  <c r="P157" i="5"/>
  <c r="P158" i="5"/>
  <c r="P160" i="5"/>
  <c r="P161" i="5"/>
  <c r="P163" i="5"/>
  <c r="P164" i="5"/>
  <c r="AD168" i="5" l="1"/>
  <c r="N168" i="6"/>
  <c r="N165" i="6"/>
  <c r="AD171" i="5"/>
  <c r="AD165" i="5"/>
  <c r="M171" i="5"/>
  <c r="M168" i="5"/>
  <c r="M165" i="5"/>
  <c r="M168" i="6"/>
  <c r="AA168" i="5"/>
  <c r="AB168" i="5" s="1"/>
  <c r="V173" i="5"/>
  <c r="V172" i="5"/>
  <c r="V171" i="5"/>
  <c r="AC171" i="5"/>
  <c r="AA171" i="5"/>
  <c r="AB171" i="5" s="1"/>
  <c r="AA165" i="5"/>
  <c r="AB165" i="5" s="1"/>
  <c r="X168" i="5"/>
  <c r="Z168" i="5" s="1"/>
  <c r="X165" i="5"/>
  <c r="Z165" i="5" s="1"/>
  <c r="M165" i="6"/>
  <c r="I164" i="6"/>
  <c r="K164" i="6" s="1"/>
  <c r="L164" i="6" s="1"/>
  <c r="I163" i="6"/>
  <c r="I162" i="6"/>
  <c r="I164" i="5"/>
  <c r="K164" i="5" s="1"/>
  <c r="I163" i="5"/>
  <c r="I162" i="5"/>
  <c r="K162" i="5" s="1"/>
  <c r="L162" i="5" s="1"/>
  <c r="G133" i="8"/>
  <c r="H133" i="8" s="1"/>
  <c r="G57" i="8"/>
  <c r="P165" i="5" l="1"/>
  <c r="O165" i="5"/>
  <c r="P168" i="5"/>
  <c r="O168" i="5"/>
  <c r="P171" i="5"/>
  <c r="O171" i="5"/>
  <c r="L164" i="5"/>
  <c r="H57" i="8"/>
  <c r="T57" i="8"/>
  <c r="K162" i="6"/>
  <c r="L162" i="6" s="1"/>
  <c r="X171" i="5"/>
  <c r="Z171" i="5" s="1"/>
  <c r="K163" i="5"/>
  <c r="L163" i="5" s="1"/>
  <c r="Q162" i="5" s="1"/>
  <c r="S162" i="5" s="1"/>
  <c r="T133" i="8"/>
  <c r="K163" i="6"/>
  <c r="L163" i="6" s="1"/>
  <c r="H164" i="6"/>
  <c r="H163" i="6"/>
  <c r="H162" i="6"/>
  <c r="H164" i="5"/>
  <c r="J164" i="5" s="1"/>
  <c r="H163" i="5"/>
  <c r="H162" i="5"/>
  <c r="J162" i="5" s="1"/>
  <c r="I161" i="6"/>
  <c r="I160" i="6"/>
  <c r="I159" i="6"/>
  <c r="I158" i="6"/>
  <c r="I157" i="6"/>
  <c r="I156" i="6"/>
  <c r="I161" i="5"/>
  <c r="K161" i="5" s="1"/>
  <c r="I160" i="5"/>
  <c r="K160" i="5" s="1"/>
  <c r="L160" i="5" s="1"/>
  <c r="I159" i="5"/>
  <c r="K159" i="5" s="1"/>
  <c r="L159" i="5" s="1"/>
  <c r="I158" i="5"/>
  <c r="K158" i="5" s="1"/>
  <c r="I157" i="5"/>
  <c r="K157" i="5" s="1"/>
  <c r="L157" i="5" s="1"/>
  <c r="I156" i="5"/>
  <c r="K156" i="5" s="1"/>
  <c r="L156" i="5" s="1"/>
  <c r="G132" i="8"/>
  <c r="T132" i="8" s="1"/>
  <c r="G56" i="8"/>
  <c r="T56" i="8" s="1"/>
  <c r="N162" i="6" l="1"/>
  <c r="L158" i="5"/>
  <c r="Q156" i="5" s="1"/>
  <c r="S156" i="5" s="1"/>
  <c r="L161" i="5"/>
  <c r="P163" i="6"/>
  <c r="O163" i="6"/>
  <c r="K156" i="6"/>
  <c r="L156" i="6" s="1"/>
  <c r="K158" i="6"/>
  <c r="L158" i="6" s="1"/>
  <c r="K160" i="6"/>
  <c r="L160" i="6" s="1"/>
  <c r="O164" i="6"/>
  <c r="J164" i="6"/>
  <c r="P164" i="6"/>
  <c r="J163" i="6"/>
  <c r="K157" i="6"/>
  <c r="L157" i="6" s="1"/>
  <c r="K159" i="6"/>
  <c r="L159" i="6" s="1"/>
  <c r="K161" i="6"/>
  <c r="L161" i="6" s="1"/>
  <c r="O162" i="6"/>
  <c r="P162" i="6"/>
  <c r="J162" i="6"/>
  <c r="U163" i="5"/>
  <c r="T163" i="5"/>
  <c r="T164" i="5"/>
  <c r="U164" i="5"/>
  <c r="Q159" i="5"/>
  <c r="S159" i="5" s="1"/>
  <c r="J163" i="5"/>
  <c r="M162" i="5" s="1"/>
  <c r="U162" i="5"/>
  <c r="T162" i="5"/>
  <c r="H132" i="8"/>
  <c r="H56" i="8"/>
  <c r="H161" i="6"/>
  <c r="H160" i="6"/>
  <c r="J160" i="6" s="1"/>
  <c r="H159" i="6"/>
  <c r="J159" i="6" s="1"/>
  <c r="H158" i="6"/>
  <c r="H157" i="6"/>
  <c r="H156" i="6"/>
  <c r="J156" i="6" s="1"/>
  <c r="H161" i="5"/>
  <c r="H160" i="5"/>
  <c r="J160" i="5" s="1"/>
  <c r="H159" i="5"/>
  <c r="H158" i="5"/>
  <c r="H157" i="5"/>
  <c r="G131" i="8"/>
  <c r="H131" i="8" s="1"/>
  <c r="G55" i="8"/>
  <c r="AD162" i="5" l="1"/>
  <c r="AC162" i="5"/>
  <c r="N159" i="6"/>
  <c r="N156" i="6"/>
  <c r="P162" i="5"/>
  <c r="O162" i="5"/>
  <c r="P158" i="6"/>
  <c r="O158" i="6"/>
  <c r="P156" i="6"/>
  <c r="O156" i="6"/>
  <c r="P160" i="6"/>
  <c r="O160" i="6"/>
  <c r="AA162" i="5"/>
  <c r="AB162" i="5" s="1"/>
  <c r="P159" i="6"/>
  <c r="O159" i="6"/>
  <c r="P157" i="6"/>
  <c r="O157" i="6"/>
  <c r="P161" i="6"/>
  <c r="O161" i="6"/>
  <c r="M162" i="6"/>
  <c r="J161" i="6"/>
  <c r="M159" i="6" s="1"/>
  <c r="J157" i="6"/>
  <c r="J158" i="6"/>
  <c r="V162" i="5"/>
  <c r="V164" i="5"/>
  <c r="J157" i="5"/>
  <c r="U157" i="5"/>
  <c r="T157" i="5"/>
  <c r="U160" i="5"/>
  <c r="T160" i="5"/>
  <c r="J158" i="5"/>
  <c r="U158" i="5"/>
  <c r="T158" i="5"/>
  <c r="J161" i="5"/>
  <c r="U161" i="5"/>
  <c r="T161" i="5"/>
  <c r="J159" i="5"/>
  <c r="AD159" i="5" s="1"/>
  <c r="U159" i="5"/>
  <c r="T159" i="5"/>
  <c r="V163" i="5"/>
  <c r="T131" i="8"/>
  <c r="H55" i="8"/>
  <c r="T55" i="8"/>
  <c r="H147" i="6"/>
  <c r="P147" i="6" s="1"/>
  <c r="H138" i="6"/>
  <c r="H139" i="6"/>
  <c r="H140" i="6"/>
  <c r="H141" i="6"/>
  <c r="H142" i="6"/>
  <c r="P142" i="6" s="1"/>
  <c r="H143" i="6"/>
  <c r="P143" i="6" s="1"/>
  <c r="H144" i="6"/>
  <c r="P144" i="6" s="1"/>
  <c r="H145" i="6"/>
  <c r="P145" i="6" s="1"/>
  <c r="H146" i="6"/>
  <c r="P146" i="6" s="1"/>
  <c r="H148" i="6"/>
  <c r="P148" i="6" s="1"/>
  <c r="H149" i="6"/>
  <c r="O149" i="6" s="1"/>
  <c r="H150" i="6"/>
  <c r="P150" i="6" s="1"/>
  <c r="H151" i="6"/>
  <c r="P151" i="6" s="1"/>
  <c r="H152" i="6"/>
  <c r="P152" i="6" s="1"/>
  <c r="H153" i="6"/>
  <c r="P153" i="6" s="1"/>
  <c r="H154" i="6"/>
  <c r="P154" i="6" s="1"/>
  <c r="H155" i="6"/>
  <c r="P155" i="6" s="1"/>
  <c r="H137" i="6"/>
  <c r="P148" i="5"/>
  <c r="P149" i="5"/>
  <c r="P151" i="5"/>
  <c r="P152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K155" i="5" s="1"/>
  <c r="H153" i="5"/>
  <c r="T153" i="5" s="1"/>
  <c r="H154" i="5"/>
  <c r="U154" i="5" s="1"/>
  <c r="V154" i="5" s="1"/>
  <c r="H155" i="5"/>
  <c r="U155" i="5" s="1"/>
  <c r="H156" i="5"/>
  <c r="H152" i="5"/>
  <c r="I155" i="6"/>
  <c r="I154" i="6"/>
  <c r="J154" i="6" s="1"/>
  <c r="I153" i="6"/>
  <c r="K153" i="6" s="1"/>
  <c r="L153" i="6" s="1"/>
  <c r="G54" i="8"/>
  <c r="G130" i="8"/>
  <c r="H130" i="8" s="1"/>
  <c r="O147" i="6" l="1"/>
  <c r="M156" i="6"/>
  <c r="AC159" i="5"/>
  <c r="T155" i="5"/>
  <c r="O145" i="6"/>
  <c r="J155" i="6"/>
  <c r="K155" i="6"/>
  <c r="L155" i="6" s="1"/>
  <c r="K154" i="6"/>
  <c r="L154" i="6" s="1"/>
  <c r="N153" i="6" s="1"/>
  <c r="L155" i="5"/>
  <c r="P149" i="6"/>
  <c r="J153" i="6"/>
  <c r="O152" i="6"/>
  <c r="O148" i="6"/>
  <c r="O144" i="6"/>
  <c r="M159" i="5"/>
  <c r="O155" i="6"/>
  <c r="O151" i="6"/>
  <c r="O153" i="6"/>
  <c r="O154" i="6"/>
  <c r="O150" i="6"/>
  <c r="O146" i="6"/>
  <c r="V158" i="5"/>
  <c r="T154" i="5"/>
  <c r="U156" i="5"/>
  <c r="T156" i="5"/>
  <c r="AA156" i="5" s="1"/>
  <c r="AB156" i="5" s="1"/>
  <c r="AA159" i="5"/>
  <c r="AB159" i="5" s="1"/>
  <c r="V161" i="5"/>
  <c r="V157" i="5"/>
  <c r="V160" i="5"/>
  <c r="V155" i="5"/>
  <c r="V159" i="5"/>
  <c r="X162" i="5"/>
  <c r="Z162" i="5" s="1"/>
  <c r="H54" i="8"/>
  <c r="T54" i="8"/>
  <c r="T130" i="8"/>
  <c r="G53" i="8"/>
  <c r="T53" i="8" s="1"/>
  <c r="G129" i="8"/>
  <c r="T129" i="8" s="1"/>
  <c r="I152" i="6"/>
  <c r="I151" i="6"/>
  <c r="I150" i="6"/>
  <c r="M153" i="6" l="1"/>
  <c r="P159" i="5"/>
  <c r="O159" i="5"/>
  <c r="X159" i="5"/>
  <c r="Z159" i="5" s="1"/>
  <c r="H129" i="8"/>
  <c r="K152" i="6"/>
  <c r="L152" i="6" s="1"/>
  <c r="J152" i="6"/>
  <c r="J150" i="6"/>
  <c r="K150" i="6"/>
  <c r="L150" i="6" s="1"/>
  <c r="J151" i="6"/>
  <c r="K151" i="6"/>
  <c r="L151" i="6" s="1"/>
  <c r="AC156" i="5"/>
  <c r="V156" i="5"/>
  <c r="X156" i="5" s="1"/>
  <c r="Z156" i="5" s="1"/>
  <c r="H53" i="8"/>
  <c r="I149" i="6"/>
  <c r="I148" i="6"/>
  <c r="I147" i="6"/>
  <c r="I146" i="6"/>
  <c r="I145" i="6"/>
  <c r="I144" i="6"/>
  <c r="T152" i="5"/>
  <c r="H151" i="5"/>
  <c r="T151" i="5" s="1"/>
  <c r="H150" i="5"/>
  <c r="H149" i="5"/>
  <c r="H148" i="5"/>
  <c r="H147" i="5"/>
  <c r="H146" i="5"/>
  <c r="H145" i="5"/>
  <c r="H144" i="5"/>
  <c r="G128" i="8"/>
  <c r="H128" i="8" s="1"/>
  <c r="G127" i="8"/>
  <c r="H127" i="8" s="1"/>
  <c r="G126" i="8"/>
  <c r="H126" i="8" s="1"/>
  <c r="G52" i="8"/>
  <c r="G51" i="8"/>
  <c r="G50" i="8"/>
  <c r="M150" i="6" l="1"/>
  <c r="J146" i="6"/>
  <c r="K146" i="6"/>
  <c r="L146" i="6" s="1"/>
  <c r="N150" i="6"/>
  <c r="J147" i="6"/>
  <c r="K147" i="6"/>
  <c r="L147" i="6" s="1"/>
  <c r="J144" i="6"/>
  <c r="K144" i="6"/>
  <c r="L144" i="6" s="1"/>
  <c r="K148" i="6"/>
  <c r="L148" i="6" s="1"/>
  <c r="J148" i="6"/>
  <c r="K145" i="6"/>
  <c r="L145" i="6" s="1"/>
  <c r="J145" i="6"/>
  <c r="K149" i="6"/>
  <c r="L149" i="6" s="1"/>
  <c r="J149" i="6"/>
  <c r="T128" i="8"/>
  <c r="H52" i="8"/>
  <c r="T52" i="8"/>
  <c r="H50" i="8"/>
  <c r="T50" i="8"/>
  <c r="H51" i="8"/>
  <c r="T51" i="8"/>
  <c r="T127" i="8"/>
  <c r="T126" i="8"/>
  <c r="P141" i="6"/>
  <c r="I143" i="6"/>
  <c r="J143" i="6" s="1"/>
  <c r="O143" i="6"/>
  <c r="I142" i="6"/>
  <c r="J142" i="6" s="1"/>
  <c r="O142" i="6"/>
  <c r="I141" i="6"/>
  <c r="J141" i="6" s="1"/>
  <c r="O141" i="6"/>
  <c r="P140" i="6"/>
  <c r="K139" i="6"/>
  <c r="L139" i="6" s="1"/>
  <c r="P139" i="6"/>
  <c r="P138" i="6"/>
  <c r="I140" i="6"/>
  <c r="J140" i="6" s="1"/>
  <c r="O140" i="6"/>
  <c r="I139" i="6"/>
  <c r="J139" i="6" s="1"/>
  <c r="O139" i="6"/>
  <c r="I138" i="6"/>
  <c r="J138" i="6" s="1"/>
  <c r="O138" i="6"/>
  <c r="N144" i="6" l="1"/>
  <c r="M147" i="6"/>
  <c r="M144" i="6"/>
  <c r="M138" i="6"/>
  <c r="K138" i="6"/>
  <c r="L138" i="6" s="1"/>
  <c r="K140" i="6"/>
  <c r="L140" i="6" s="1"/>
  <c r="K141" i="6"/>
  <c r="L141" i="6" s="1"/>
  <c r="K142" i="6"/>
  <c r="L142" i="6" s="1"/>
  <c r="N147" i="6"/>
  <c r="K143" i="6"/>
  <c r="L143" i="6" s="1"/>
  <c r="M141" i="6"/>
  <c r="I143" i="5"/>
  <c r="I142" i="5"/>
  <c r="I141" i="5"/>
  <c r="P137" i="6"/>
  <c r="N138" i="6" l="1"/>
  <c r="N141" i="6"/>
  <c r="H129" i="5" l="1"/>
  <c r="I129" i="5"/>
  <c r="I125" i="5"/>
  <c r="K125" i="5" s="1"/>
  <c r="G125" i="8"/>
  <c r="T125" i="8" s="1"/>
  <c r="G49" i="8"/>
  <c r="I137" i="6"/>
  <c r="K137" i="6" s="1"/>
  <c r="L137" i="6" s="1"/>
  <c r="O137" i="6"/>
  <c r="I136" i="6"/>
  <c r="K136" i="6" s="1"/>
  <c r="L136" i="6" s="1"/>
  <c r="I135" i="6"/>
  <c r="H136" i="6"/>
  <c r="P136" i="6" s="1"/>
  <c r="H135" i="6"/>
  <c r="P135" i="6" s="1"/>
  <c r="R135" i="6" s="1"/>
  <c r="S135" i="6" s="1"/>
  <c r="H143" i="5"/>
  <c r="H142" i="5"/>
  <c r="H141" i="5"/>
  <c r="I140" i="5"/>
  <c r="I139" i="5"/>
  <c r="I138" i="5"/>
  <c r="H140" i="5"/>
  <c r="H139" i="5"/>
  <c r="H138" i="5"/>
  <c r="I137" i="5"/>
  <c r="I136" i="5"/>
  <c r="I135" i="5"/>
  <c r="H137" i="5"/>
  <c r="H136" i="5"/>
  <c r="H135" i="5"/>
  <c r="O135" i="6" l="1"/>
  <c r="O136" i="6"/>
  <c r="J137" i="6"/>
  <c r="J136" i="6"/>
  <c r="J135" i="6"/>
  <c r="K135" i="6"/>
  <c r="L135" i="6" s="1"/>
  <c r="N135" i="6" s="1"/>
  <c r="H125" i="8"/>
  <c r="H49" i="8"/>
  <c r="T49" i="8"/>
  <c r="J129" i="5"/>
  <c r="H84" i="6"/>
  <c r="I84" i="6"/>
  <c r="G5" i="8"/>
  <c r="G124" i="8"/>
  <c r="H124" i="8" s="1"/>
  <c r="G48" i="8"/>
  <c r="G26" i="11"/>
  <c r="G25" i="11"/>
  <c r="G24" i="11"/>
  <c r="G23" i="11"/>
  <c r="G22" i="11"/>
  <c r="G21" i="11"/>
  <c r="G15" i="11"/>
  <c r="O15" i="11" s="1"/>
  <c r="H15" i="11"/>
  <c r="P15" i="11"/>
  <c r="G16" i="11"/>
  <c r="P16" i="11" s="1"/>
  <c r="H16" i="11"/>
  <c r="I16" i="11" s="1"/>
  <c r="M16" i="11"/>
  <c r="G17" i="11"/>
  <c r="O17" i="11" s="1"/>
  <c r="H17" i="11"/>
  <c r="M17" i="11"/>
  <c r="G18" i="11"/>
  <c r="P18" i="11" s="1"/>
  <c r="H18" i="11"/>
  <c r="J18" i="11" s="1"/>
  <c r="K18" i="11" s="1"/>
  <c r="G19" i="11"/>
  <c r="P19" i="11" s="1"/>
  <c r="Q19" i="11" s="1"/>
  <c r="H19" i="11"/>
  <c r="J19" i="11" s="1"/>
  <c r="K19" i="11" s="1"/>
  <c r="M19" i="11"/>
  <c r="O19" i="11"/>
  <c r="G20" i="11"/>
  <c r="H20" i="11"/>
  <c r="J20" i="11" s="1"/>
  <c r="K20" i="11" s="1"/>
  <c r="V20" i="11" s="1"/>
  <c r="M20" i="11"/>
  <c r="M135" i="6" l="1"/>
  <c r="P17" i="11"/>
  <c r="Q17" i="11" s="1"/>
  <c r="J16" i="11"/>
  <c r="K16" i="11" s="1"/>
  <c r="H48" i="8"/>
  <c r="T48" i="8"/>
  <c r="J84" i="6"/>
  <c r="T124" i="8"/>
  <c r="O18" i="11"/>
  <c r="S16" i="11" s="1"/>
  <c r="O16" i="11"/>
  <c r="S15" i="11" s="1"/>
  <c r="I15" i="11"/>
  <c r="I17" i="11"/>
  <c r="J17" i="11"/>
  <c r="K17" i="11" s="1"/>
  <c r="V17" i="11" s="1"/>
  <c r="J15" i="11"/>
  <c r="K15" i="11" s="1"/>
  <c r="V19" i="11"/>
  <c r="I20" i="11"/>
  <c r="U20" i="11" s="1"/>
  <c r="I19" i="11"/>
  <c r="N18" i="11"/>
  <c r="T15" i="11"/>
  <c r="Q16" i="11"/>
  <c r="Q18" i="11"/>
  <c r="W15" i="11"/>
  <c r="P20" i="11"/>
  <c r="W18" i="11" s="1"/>
  <c r="V18" i="11"/>
  <c r="W17" i="11"/>
  <c r="Q15" i="11"/>
  <c r="O20" i="11"/>
  <c r="I18" i="11"/>
  <c r="T17" i="11"/>
  <c r="I134" i="5"/>
  <c r="K134" i="5" s="1"/>
  <c r="I133" i="5"/>
  <c r="I132" i="5"/>
  <c r="H134" i="5"/>
  <c r="H133" i="5"/>
  <c r="H132" i="5"/>
  <c r="I131" i="5"/>
  <c r="I130" i="5"/>
  <c r="I128" i="5"/>
  <c r="I127" i="5"/>
  <c r="I126" i="5"/>
  <c r="I134" i="6"/>
  <c r="K134" i="6" s="1"/>
  <c r="L134" i="6" s="1"/>
  <c r="I133" i="6"/>
  <c r="K133" i="6" s="1"/>
  <c r="L133" i="6" s="1"/>
  <c r="I132" i="6"/>
  <c r="H134" i="6"/>
  <c r="O134" i="6" s="1"/>
  <c r="H133" i="6"/>
  <c r="O133" i="6" s="1"/>
  <c r="H132" i="6"/>
  <c r="P132" i="6" s="1"/>
  <c r="I131" i="6"/>
  <c r="I130" i="6"/>
  <c r="K130" i="6" s="1"/>
  <c r="L130" i="6" s="1"/>
  <c r="I129" i="6"/>
  <c r="K129" i="6" s="1"/>
  <c r="L129" i="6" s="1"/>
  <c r="I128" i="6"/>
  <c r="I127" i="6"/>
  <c r="K127" i="6" s="1"/>
  <c r="L127" i="6" s="1"/>
  <c r="I126" i="6"/>
  <c r="K126" i="6" s="1"/>
  <c r="L126" i="6" s="1"/>
  <c r="G123" i="8"/>
  <c r="H123" i="8" s="1"/>
  <c r="G122" i="8"/>
  <c r="H122" i="8" s="1"/>
  <c r="G47" i="8"/>
  <c r="T47" i="8" s="1"/>
  <c r="G46" i="8"/>
  <c r="H46" i="8" s="1"/>
  <c r="L15" i="11" l="1"/>
  <c r="M15" i="11" s="1"/>
  <c r="O132" i="6"/>
  <c r="N15" i="11"/>
  <c r="V16" i="11"/>
  <c r="S17" i="11"/>
  <c r="V15" i="11"/>
  <c r="J133" i="6"/>
  <c r="U19" i="11"/>
  <c r="P134" i="6"/>
  <c r="J132" i="6"/>
  <c r="K132" i="6"/>
  <c r="L132" i="6" s="1"/>
  <c r="K128" i="6"/>
  <c r="L128" i="6" s="1"/>
  <c r="N126" i="6" s="1"/>
  <c r="P133" i="6"/>
  <c r="W16" i="11"/>
  <c r="J134" i="6"/>
  <c r="K131" i="6"/>
  <c r="L131" i="6" s="1"/>
  <c r="R17" i="11"/>
  <c r="T16" i="11"/>
  <c r="T123" i="8"/>
  <c r="H47" i="8"/>
  <c r="T122" i="8"/>
  <c r="T46" i="8"/>
  <c r="U15" i="11"/>
  <c r="U17" i="11"/>
  <c r="R15" i="11"/>
  <c r="L18" i="11"/>
  <c r="M18" i="11" s="1"/>
  <c r="U18" i="11"/>
  <c r="U16" i="11"/>
  <c r="W20" i="11"/>
  <c r="Q20" i="11"/>
  <c r="R18" i="11" s="1"/>
  <c r="T20" i="11"/>
  <c r="T19" i="11"/>
  <c r="S20" i="11"/>
  <c r="S18" i="11"/>
  <c r="S19" i="11"/>
  <c r="R16" i="11"/>
  <c r="W19" i="11"/>
  <c r="T18" i="11"/>
  <c r="N132" i="6"/>
  <c r="N129" i="6"/>
  <c r="H131" i="6"/>
  <c r="H130" i="6"/>
  <c r="J130" i="6" s="1"/>
  <c r="H129" i="6"/>
  <c r="H128" i="6"/>
  <c r="J128" i="6" s="1"/>
  <c r="H127" i="6"/>
  <c r="J127" i="6" s="1"/>
  <c r="H126" i="6"/>
  <c r="I125" i="6"/>
  <c r="K125" i="6" s="1"/>
  <c r="L125" i="6" s="1"/>
  <c r="I124" i="6"/>
  <c r="K124" i="6" s="1"/>
  <c r="L124" i="6" s="1"/>
  <c r="I123" i="6"/>
  <c r="H125" i="6"/>
  <c r="O125" i="6" s="1"/>
  <c r="H124" i="6"/>
  <c r="P124" i="6" s="1"/>
  <c r="H123" i="6"/>
  <c r="P123" i="6" s="1"/>
  <c r="I122" i="6"/>
  <c r="K122" i="6" s="1"/>
  <c r="L122" i="6" s="1"/>
  <c r="I121" i="6"/>
  <c r="I120" i="6"/>
  <c r="H122" i="6"/>
  <c r="P122" i="6" s="1"/>
  <c r="H121" i="6"/>
  <c r="H120" i="6"/>
  <c r="I119" i="6"/>
  <c r="H119" i="6"/>
  <c r="I118" i="6"/>
  <c r="K118" i="6" s="1"/>
  <c r="L118" i="6" s="1"/>
  <c r="H118" i="6"/>
  <c r="I117" i="6"/>
  <c r="K117" i="6" s="1"/>
  <c r="L117" i="6" s="1"/>
  <c r="H117" i="6"/>
  <c r="H131" i="5"/>
  <c r="H130" i="5"/>
  <c r="H128" i="5"/>
  <c r="H127" i="5"/>
  <c r="H126" i="5"/>
  <c r="H125" i="5"/>
  <c r="J125" i="5" s="1"/>
  <c r="I124" i="5"/>
  <c r="K124" i="5" s="1"/>
  <c r="H124" i="5"/>
  <c r="I123" i="5"/>
  <c r="H123" i="5"/>
  <c r="I122" i="5"/>
  <c r="H122" i="5"/>
  <c r="I121" i="5"/>
  <c r="H121" i="5"/>
  <c r="I120" i="5"/>
  <c r="H120" i="5"/>
  <c r="I119" i="5"/>
  <c r="H119" i="5"/>
  <c r="I118" i="5"/>
  <c r="H118" i="5"/>
  <c r="I117" i="5"/>
  <c r="G45" i="8"/>
  <c r="G121" i="8"/>
  <c r="T121" i="8" s="1"/>
  <c r="J118" i="6" l="1"/>
  <c r="J119" i="6"/>
  <c r="P125" i="6"/>
  <c r="J125" i="6"/>
  <c r="O122" i="6"/>
  <c r="J120" i="6"/>
  <c r="J123" i="6"/>
  <c r="O131" i="6"/>
  <c r="P131" i="6"/>
  <c r="J121" i="6"/>
  <c r="K121" i="6"/>
  <c r="L121" i="6" s="1"/>
  <c r="O124" i="6"/>
  <c r="K123" i="6"/>
  <c r="L123" i="6" s="1"/>
  <c r="N123" i="6" s="1"/>
  <c r="K119" i="6"/>
  <c r="L119" i="6" s="1"/>
  <c r="J122" i="6"/>
  <c r="J124" i="6"/>
  <c r="O129" i="6"/>
  <c r="P129" i="6"/>
  <c r="J129" i="6"/>
  <c r="J131" i="6"/>
  <c r="K120" i="6"/>
  <c r="L120" i="6" s="1"/>
  <c r="O123" i="6"/>
  <c r="P126" i="6"/>
  <c r="J126" i="6"/>
  <c r="M126" i="6" s="1"/>
  <c r="O126" i="6"/>
  <c r="P130" i="6"/>
  <c r="O130" i="6"/>
  <c r="M132" i="6"/>
  <c r="O127" i="6"/>
  <c r="P127" i="6"/>
  <c r="P128" i="6"/>
  <c r="O128" i="6"/>
  <c r="H121" i="8"/>
  <c r="H45" i="8"/>
  <c r="T45" i="8"/>
  <c r="N117" i="6"/>
  <c r="J117" i="6"/>
  <c r="R20" i="11"/>
  <c r="R19" i="11"/>
  <c r="G120" i="8"/>
  <c r="G44" i="8"/>
  <c r="M129" i="6" l="1"/>
  <c r="R126" i="6"/>
  <c r="S126" i="6" s="1"/>
  <c r="M123" i="6"/>
  <c r="H44" i="8"/>
  <c r="T44" i="8"/>
  <c r="H120" i="8"/>
  <c r="T120" i="8"/>
  <c r="G119" i="8"/>
  <c r="K115" i="6"/>
  <c r="L115" i="6" s="1"/>
  <c r="H115" i="6"/>
  <c r="I110" i="6"/>
  <c r="K110" i="6" s="1"/>
  <c r="L110" i="6" s="1"/>
  <c r="I111" i="6"/>
  <c r="K111" i="6" s="1"/>
  <c r="L111" i="6" s="1"/>
  <c r="I112" i="6"/>
  <c r="K112" i="6" s="1"/>
  <c r="L112" i="6" s="1"/>
  <c r="I113" i="6"/>
  <c r="K113" i="6" s="1"/>
  <c r="L113" i="6" s="1"/>
  <c r="I114" i="6"/>
  <c r="K114" i="6" s="1"/>
  <c r="L114" i="6" s="1"/>
  <c r="I116" i="6"/>
  <c r="K116" i="6" s="1"/>
  <c r="L116" i="6" s="1"/>
  <c r="H109" i="6"/>
  <c r="H110" i="6"/>
  <c r="H111" i="6"/>
  <c r="H112" i="6"/>
  <c r="H113" i="6"/>
  <c r="J113" i="6" s="1"/>
  <c r="H114" i="6"/>
  <c r="H116" i="6"/>
  <c r="N114" i="6" l="1"/>
  <c r="J111" i="6"/>
  <c r="J116" i="6"/>
  <c r="J110" i="6"/>
  <c r="J112" i="6"/>
  <c r="J114" i="6"/>
  <c r="J115" i="6"/>
  <c r="M114" i="6" s="1"/>
  <c r="H119" i="8"/>
  <c r="T119" i="8"/>
  <c r="I116" i="5"/>
  <c r="I115" i="5"/>
  <c r="I114" i="5"/>
  <c r="I113" i="5"/>
  <c r="I112" i="5"/>
  <c r="K112" i="5" s="1"/>
  <c r="I111" i="5"/>
  <c r="I110" i="5"/>
  <c r="I109" i="5"/>
  <c r="I108" i="5"/>
  <c r="I107" i="5"/>
  <c r="I106" i="5"/>
  <c r="I105" i="5"/>
  <c r="H99" i="5"/>
  <c r="I104" i="5"/>
  <c r="I103" i="5"/>
  <c r="I102" i="5"/>
  <c r="I101" i="5"/>
  <c r="I100" i="5"/>
  <c r="I99" i="5"/>
  <c r="G118" i="8"/>
  <c r="T118" i="8" s="1"/>
  <c r="M111" i="6" l="1"/>
  <c r="H118" i="8"/>
  <c r="G117" i="8"/>
  <c r="G116" i="8"/>
  <c r="G115" i="8"/>
  <c r="G114" i="8"/>
  <c r="G113" i="8"/>
  <c r="G42" i="8"/>
  <c r="H115" i="8" l="1"/>
  <c r="T115" i="8"/>
  <c r="H42" i="8"/>
  <c r="T42" i="8"/>
  <c r="H113" i="8"/>
  <c r="T113" i="8"/>
  <c r="H117" i="8"/>
  <c r="T117" i="8"/>
  <c r="H116" i="8"/>
  <c r="T116" i="8"/>
  <c r="H114" i="8"/>
  <c r="T114" i="8"/>
  <c r="G36" i="8"/>
  <c r="G37" i="8"/>
  <c r="G38" i="8"/>
  <c r="G39" i="8"/>
  <c r="G40" i="8"/>
  <c r="G41" i="8"/>
  <c r="G43" i="8"/>
  <c r="H40" i="8" l="1"/>
  <c r="T40" i="8"/>
  <c r="H39" i="8"/>
  <c r="T39" i="8"/>
  <c r="H38" i="8"/>
  <c r="T38" i="8"/>
  <c r="H36" i="8"/>
  <c r="T36" i="8"/>
  <c r="H43" i="8"/>
  <c r="T43" i="8"/>
  <c r="H41" i="8"/>
  <c r="T41" i="8"/>
  <c r="H37" i="8"/>
  <c r="T37" i="8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N111" i="6"/>
  <c r="N120" i="6"/>
  <c r="M117" i="6"/>
  <c r="M120" i="6"/>
  <c r="H93" i="6"/>
  <c r="O93" i="6" s="1"/>
  <c r="H94" i="6"/>
  <c r="O94" i="6" s="1"/>
  <c r="H95" i="6"/>
  <c r="P95" i="6" s="1"/>
  <c r="H96" i="6"/>
  <c r="P96" i="6" s="1"/>
  <c r="H97" i="6"/>
  <c r="P97" i="6" s="1"/>
  <c r="H98" i="6"/>
  <c r="O98" i="6" s="1"/>
  <c r="H99" i="6"/>
  <c r="P99" i="6" s="1"/>
  <c r="H100" i="6"/>
  <c r="P100" i="6" s="1"/>
  <c r="H101" i="6"/>
  <c r="P101" i="6" s="1"/>
  <c r="H102" i="6"/>
  <c r="P102" i="6" s="1"/>
  <c r="H103" i="6"/>
  <c r="P103" i="6" s="1"/>
  <c r="H104" i="6"/>
  <c r="P104" i="6" s="1"/>
  <c r="H105" i="6"/>
  <c r="P105" i="6" s="1"/>
  <c r="H106" i="6"/>
  <c r="P106" i="6" s="1"/>
  <c r="H107" i="6"/>
  <c r="P107" i="6" s="1"/>
  <c r="H108" i="6"/>
  <c r="P108" i="6" s="1"/>
  <c r="I93" i="6"/>
  <c r="J93" i="6" s="1"/>
  <c r="I94" i="6"/>
  <c r="I95" i="6"/>
  <c r="K95" i="6" s="1"/>
  <c r="L95" i="6" s="1"/>
  <c r="I96" i="6"/>
  <c r="I97" i="6"/>
  <c r="K97" i="6" s="1"/>
  <c r="L97" i="6" s="1"/>
  <c r="I98" i="6"/>
  <c r="J98" i="6" s="1"/>
  <c r="I99" i="6"/>
  <c r="J99" i="6" s="1"/>
  <c r="I100" i="6"/>
  <c r="J100" i="6" s="1"/>
  <c r="I101" i="6"/>
  <c r="I102" i="6"/>
  <c r="I103" i="6"/>
  <c r="J103" i="6" s="1"/>
  <c r="I104" i="6"/>
  <c r="I105" i="6"/>
  <c r="I106" i="6"/>
  <c r="K106" i="6" s="1"/>
  <c r="L106" i="6" s="1"/>
  <c r="I107" i="6"/>
  <c r="K107" i="6" s="1"/>
  <c r="L107" i="6" s="1"/>
  <c r="I108" i="6"/>
  <c r="K108" i="6" s="1"/>
  <c r="L108" i="6" s="1"/>
  <c r="I109" i="6"/>
  <c r="J94" i="6"/>
  <c r="K94" i="6"/>
  <c r="L94" i="6" s="1"/>
  <c r="K99" i="6"/>
  <c r="L99" i="6" s="1"/>
  <c r="K101" i="6"/>
  <c r="L101" i="6" s="1"/>
  <c r="K102" i="6"/>
  <c r="L102" i="6" s="1"/>
  <c r="K103" i="6"/>
  <c r="L103" i="6" s="1"/>
  <c r="I91" i="6"/>
  <c r="K91" i="6" s="1"/>
  <c r="L91" i="6" s="1"/>
  <c r="I92" i="6"/>
  <c r="K92" i="6" s="1"/>
  <c r="L92" i="6" s="1"/>
  <c r="H91" i="6"/>
  <c r="P91" i="6" s="1"/>
  <c r="H92" i="6"/>
  <c r="P92" i="6" s="1"/>
  <c r="I90" i="6"/>
  <c r="K90" i="6" s="1"/>
  <c r="L90" i="6" s="1"/>
  <c r="H90" i="6"/>
  <c r="I89" i="6"/>
  <c r="H89" i="6"/>
  <c r="O89" i="6" s="1"/>
  <c r="K88" i="6"/>
  <c r="L88" i="6" s="1"/>
  <c r="I88" i="6"/>
  <c r="H88" i="6"/>
  <c r="P88" i="6" s="1"/>
  <c r="I87" i="6"/>
  <c r="K87" i="6" s="1"/>
  <c r="L87" i="6" s="1"/>
  <c r="H87" i="6"/>
  <c r="O87" i="6" s="1"/>
  <c r="I98" i="5"/>
  <c r="I97" i="5"/>
  <c r="I96" i="5"/>
  <c r="I95" i="5"/>
  <c r="I94" i="5"/>
  <c r="I93" i="5"/>
  <c r="I92" i="5"/>
  <c r="I91" i="5"/>
  <c r="I90" i="5"/>
  <c r="I89" i="5"/>
  <c r="I88" i="5"/>
  <c r="I87" i="5"/>
  <c r="J88" i="6" l="1"/>
  <c r="O88" i="6"/>
  <c r="J90" i="6"/>
  <c r="K109" i="6"/>
  <c r="L109" i="6" s="1"/>
  <c r="N108" i="6" s="1"/>
  <c r="J109" i="6"/>
  <c r="J105" i="6"/>
  <c r="K105" i="6"/>
  <c r="L105" i="6" s="1"/>
  <c r="N105" i="6" s="1"/>
  <c r="O104" i="6"/>
  <c r="J89" i="6"/>
  <c r="P89" i="6"/>
  <c r="J108" i="6"/>
  <c r="O108" i="6"/>
  <c r="J106" i="6"/>
  <c r="J102" i="6"/>
  <c r="J101" i="6"/>
  <c r="M99" i="6" s="1"/>
  <c r="O100" i="6"/>
  <c r="N90" i="6"/>
  <c r="O107" i="6"/>
  <c r="O103" i="6"/>
  <c r="O99" i="6"/>
  <c r="J92" i="6"/>
  <c r="J91" i="6"/>
  <c r="J87" i="6"/>
  <c r="P90" i="6"/>
  <c r="O106" i="6"/>
  <c r="O102" i="6"/>
  <c r="O92" i="6"/>
  <c r="P87" i="6"/>
  <c r="K89" i="6"/>
  <c r="L89" i="6" s="1"/>
  <c r="N87" i="6" s="1"/>
  <c r="K98" i="6"/>
  <c r="L98" i="6" s="1"/>
  <c r="O105" i="6"/>
  <c r="O101" i="6"/>
  <c r="O91" i="6"/>
  <c r="J97" i="6"/>
  <c r="P98" i="6"/>
  <c r="O97" i="6"/>
  <c r="O96" i="6"/>
  <c r="O95" i="6"/>
  <c r="J95" i="6"/>
  <c r="P94" i="6"/>
  <c r="P93" i="6"/>
  <c r="K93" i="6"/>
  <c r="L93" i="6" s="1"/>
  <c r="J104" i="6"/>
  <c r="J107" i="6"/>
  <c r="J96" i="6"/>
  <c r="K104" i="6"/>
  <c r="L104" i="6" s="1"/>
  <c r="K100" i="6"/>
  <c r="L100" i="6" s="1"/>
  <c r="K96" i="6"/>
  <c r="L96" i="6" s="1"/>
  <c r="N96" i="6" s="1"/>
  <c r="O90" i="6"/>
  <c r="G112" i="8"/>
  <c r="G111" i="8"/>
  <c r="G110" i="8"/>
  <c r="T110" i="8" s="1"/>
  <c r="G108" i="8"/>
  <c r="H108" i="8" s="1"/>
  <c r="G107" i="8"/>
  <c r="H107" i="8" s="1"/>
  <c r="G109" i="8"/>
  <c r="H109" i="8" s="1"/>
  <c r="G32" i="8"/>
  <c r="H32" i="8" s="1"/>
  <c r="G31" i="8"/>
  <c r="H33" i="8"/>
  <c r="G34" i="8"/>
  <c r="G35" i="8"/>
  <c r="I58" i="6"/>
  <c r="K58" i="6" s="1"/>
  <c r="L58" i="6" s="1"/>
  <c r="H57" i="6"/>
  <c r="H58" i="6"/>
  <c r="I67" i="5"/>
  <c r="H67" i="5"/>
  <c r="M87" i="6" l="1"/>
  <c r="M108" i="6"/>
  <c r="M90" i="6"/>
  <c r="H35" i="8"/>
  <c r="T35" i="8"/>
  <c r="H34" i="8"/>
  <c r="T34" i="8"/>
  <c r="H111" i="8"/>
  <c r="T111" i="8"/>
  <c r="H112" i="8"/>
  <c r="T112" i="8"/>
  <c r="M102" i="6"/>
  <c r="M96" i="6"/>
  <c r="N99" i="6"/>
  <c r="M105" i="6"/>
  <c r="N102" i="6"/>
  <c r="M93" i="6"/>
  <c r="N93" i="6"/>
  <c r="H110" i="8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U139" i="6"/>
  <c r="U140" i="6"/>
  <c r="U141" i="6"/>
  <c r="U142" i="6"/>
  <c r="U143" i="6"/>
  <c r="U144" i="6"/>
  <c r="U145" i="6"/>
  <c r="U146" i="6"/>
  <c r="U147" i="6"/>
  <c r="U148" i="6"/>
  <c r="U149" i="6"/>
  <c r="U150" i="6"/>
  <c r="U151" i="6"/>
  <c r="U152" i="6"/>
  <c r="U153" i="6"/>
  <c r="U154" i="6"/>
  <c r="U155" i="6"/>
  <c r="U156" i="6"/>
  <c r="U157" i="6"/>
  <c r="U158" i="6"/>
  <c r="U159" i="6"/>
  <c r="U160" i="6"/>
  <c r="U161" i="6"/>
  <c r="U162" i="6"/>
  <c r="U163" i="6"/>
  <c r="U164" i="6"/>
  <c r="U165" i="6"/>
  <c r="U166" i="6"/>
  <c r="U167" i="6"/>
  <c r="U168" i="6"/>
  <c r="U169" i="6"/>
  <c r="U170" i="6"/>
  <c r="U171" i="6"/>
  <c r="U172" i="6"/>
  <c r="U173" i="6"/>
  <c r="U174" i="6"/>
  <c r="U175" i="6"/>
  <c r="U176" i="6"/>
  <c r="U177" i="6"/>
  <c r="U178" i="6"/>
  <c r="U179" i="6"/>
  <c r="U180" i="6"/>
  <c r="U181" i="6"/>
  <c r="U182" i="6"/>
  <c r="U183" i="6"/>
  <c r="U184" i="6"/>
  <c r="U185" i="6"/>
  <c r="U186" i="6"/>
  <c r="U187" i="6"/>
  <c r="U188" i="6"/>
  <c r="U189" i="6"/>
  <c r="U190" i="6"/>
  <c r="U191" i="6"/>
  <c r="U192" i="6"/>
  <c r="U193" i="6"/>
  <c r="U194" i="6"/>
  <c r="U195" i="6"/>
  <c r="U196" i="6"/>
  <c r="U197" i="6"/>
  <c r="U198" i="6"/>
  <c r="U199" i="6"/>
  <c r="U200" i="6"/>
  <c r="U201" i="6"/>
  <c r="U202" i="6"/>
  <c r="U203" i="6"/>
  <c r="U204" i="6"/>
  <c r="U205" i="6"/>
  <c r="U206" i="6"/>
  <c r="U207" i="6"/>
  <c r="U208" i="6"/>
  <c r="U209" i="6"/>
  <c r="U210" i="6"/>
  <c r="U211" i="6"/>
  <c r="U212" i="6"/>
  <c r="U213" i="6"/>
  <c r="U214" i="6"/>
  <c r="U215" i="6"/>
  <c r="U216" i="6"/>
  <c r="U217" i="6"/>
  <c r="U218" i="6"/>
  <c r="U219" i="6"/>
  <c r="U220" i="6"/>
  <c r="U221" i="6"/>
  <c r="U222" i="6"/>
  <c r="U223" i="6"/>
  <c r="U224" i="6"/>
  <c r="U225" i="6"/>
  <c r="U226" i="6"/>
  <c r="U227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0" i="6"/>
  <c r="T221" i="6"/>
  <c r="T222" i="6"/>
  <c r="T223" i="6"/>
  <c r="T224" i="6"/>
  <c r="T225" i="6"/>
  <c r="T226" i="6"/>
  <c r="T227" i="6"/>
  <c r="T228" i="6"/>
  <c r="T229" i="6"/>
  <c r="R87" i="6"/>
  <c r="S87" i="6" s="1"/>
  <c r="R90" i="6"/>
  <c r="S90" i="6" s="1"/>
  <c r="R93" i="6"/>
  <c r="S93" i="6" s="1"/>
  <c r="R96" i="6"/>
  <c r="S96" i="6" s="1"/>
  <c r="R99" i="6"/>
  <c r="S99" i="6" s="1"/>
  <c r="R102" i="6"/>
  <c r="S102" i="6" s="1"/>
  <c r="R105" i="6"/>
  <c r="S105" i="6" s="1"/>
  <c r="R108" i="6"/>
  <c r="S108" i="6" s="1"/>
  <c r="R111" i="6"/>
  <c r="S111" i="6" s="1"/>
  <c r="R114" i="6"/>
  <c r="S114" i="6" s="1"/>
  <c r="R117" i="6"/>
  <c r="S117" i="6" s="1"/>
  <c r="R120" i="6"/>
  <c r="S120" i="6" s="1"/>
  <c r="R123" i="6"/>
  <c r="S123" i="6" s="1"/>
  <c r="R129" i="6"/>
  <c r="S129" i="6" s="1"/>
  <c r="R132" i="6"/>
  <c r="S132" i="6" s="1"/>
  <c r="R138" i="6"/>
  <c r="S138" i="6" s="1"/>
  <c r="R141" i="6"/>
  <c r="S141" i="6" s="1"/>
  <c r="R144" i="6"/>
  <c r="S144" i="6" s="1"/>
  <c r="R147" i="6"/>
  <c r="S147" i="6" s="1"/>
  <c r="R150" i="6"/>
  <c r="S150" i="6" s="1"/>
  <c r="R153" i="6"/>
  <c r="S153" i="6" s="1"/>
  <c r="R156" i="6"/>
  <c r="S156" i="6" s="1"/>
  <c r="R159" i="6"/>
  <c r="S159" i="6" s="1"/>
  <c r="R162" i="6"/>
  <c r="S162" i="6" s="1"/>
  <c r="R168" i="6"/>
  <c r="S168" i="6" s="1"/>
  <c r="R171" i="6"/>
  <c r="S171" i="6" s="1"/>
  <c r="R174" i="6"/>
  <c r="S174" i="6" s="1"/>
  <c r="R177" i="6"/>
  <c r="S177" i="6" s="1"/>
  <c r="R180" i="6"/>
  <c r="S180" i="6" s="1"/>
  <c r="R183" i="6"/>
  <c r="S183" i="6" s="1"/>
  <c r="R186" i="6"/>
  <c r="S186" i="6" s="1"/>
  <c r="R189" i="6"/>
  <c r="S189" i="6" s="1"/>
  <c r="R192" i="6"/>
  <c r="S192" i="6" s="1"/>
  <c r="R195" i="6"/>
  <c r="S195" i="6" s="1"/>
  <c r="R201" i="6"/>
  <c r="S201" i="6" s="1"/>
  <c r="R204" i="6"/>
  <c r="S204" i="6" s="1"/>
  <c r="R207" i="6"/>
  <c r="S207" i="6" s="1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H86" i="6"/>
  <c r="P86" i="6" s="1"/>
  <c r="I86" i="6"/>
  <c r="K86" i="6" s="1"/>
  <c r="L86" i="6" s="1"/>
  <c r="U86" i="6" s="1"/>
  <c r="I85" i="6"/>
  <c r="H85" i="6"/>
  <c r="P85" i="6" s="1"/>
  <c r="P84" i="6"/>
  <c r="I83" i="6"/>
  <c r="I82" i="6"/>
  <c r="K82" i="6" s="1"/>
  <c r="L82" i="6" s="1"/>
  <c r="I81" i="6"/>
  <c r="H83" i="6"/>
  <c r="P83" i="6" s="1"/>
  <c r="H82" i="6"/>
  <c r="O82" i="6" s="1"/>
  <c r="H81" i="6"/>
  <c r="P81" i="6" s="1"/>
  <c r="I80" i="6"/>
  <c r="K80" i="6" s="1"/>
  <c r="L80" i="6" s="1"/>
  <c r="I79" i="6"/>
  <c r="K79" i="6" s="1"/>
  <c r="L79" i="6" s="1"/>
  <c r="I78" i="6"/>
  <c r="K78" i="6" s="1"/>
  <c r="L78" i="6" s="1"/>
  <c r="H80" i="6"/>
  <c r="P80" i="6" s="1"/>
  <c r="H79" i="6"/>
  <c r="O79" i="6" s="1"/>
  <c r="H78" i="6"/>
  <c r="O78" i="6" s="1"/>
  <c r="I77" i="6"/>
  <c r="K77" i="6" s="1"/>
  <c r="L77" i="6" s="1"/>
  <c r="I76" i="6"/>
  <c r="I75" i="6"/>
  <c r="K75" i="6" s="1"/>
  <c r="L75" i="6" s="1"/>
  <c r="H77" i="6"/>
  <c r="O77" i="6" s="1"/>
  <c r="H76" i="6"/>
  <c r="O76" i="6" s="1"/>
  <c r="H75" i="6"/>
  <c r="P75" i="6" s="1"/>
  <c r="AF154" i="5"/>
  <c r="AA153" i="5"/>
  <c r="AB153" i="5" s="1"/>
  <c r="U118" i="5"/>
  <c r="V118" i="5" s="1"/>
  <c r="U119" i="5"/>
  <c r="V119" i="5" s="1"/>
  <c r="U120" i="5"/>
  <c r="V120" i="5" s="1"/>
  <c r="U121" i="5"/>
  <c r="V121" i="5" s="1"/>
  <c r="U122" i="5"/>
  <c r="V122" i="5" s="1"/>
  <c r="U123" i="5"/>
  <c r="V123" i="5" s="1"/>
  <c r="U124" i="5"/>
  <c r="V124" i="5" s="1"/>
  <c r="U125" i="5"/>
  <c r="V125" i="5" s="1"/>
  <c r="U126" i="5"/>
  <c r="V126" i="5" s="1"/>
  <c r="U127" i="5"/>
  <c r="V127" i="5" s="1"/>
  <c r="U128" i="5"/>
  <c r="V128" i="5" s="1"/>
  <c r="U129" i="5"/>
  <c r="V129" i="5" s="1"/>
  <c r="U130" i="5"/>
  <c r="V130" i="5" s="1"/>
  <c r="U131" i="5"/>
  <c r="V131" i="5" s="1"/>
  <c r="U132" i="5"/>
  <c r="V132" i="5" s="1"/>
  <c r="U133" i="5"/>
  <c r="V133" i="5" s="1"/>
  <c r="U134" i="5"/>
  <c r="V134" i="5" s="1"/>
  <c r="U135" i="5"/>
  <c r="V135" i="5" s="1"/>
  <c r="U136" i="5"/>
  <c r="V136" i="5" s="1"/>
  <c r="U137" i="5"/>
  <c r="V137" i="5" s="1"/>
  <c r="U138" i="5"/>
  <c r="V138" i="5" s="1"/>
  <c r="U139" i="5"/>
  <c r="V139" i="5" s="1"/>
  <c r="U140" i="5"/>
  <c r="V140" i="5" s="1"/>
  <c r="U141" i="5"/>
  <c r="V141" i="5" s="1"/>
  <c r="U142" i="5"/>
  <c r="V142" i="5" s="1"/>
  <c r="U143" i="5"/>
  <c r="V143" i="5" s="1"/>
  <c r="U144" i="5"/>
  <c r="V144" i="5" s="1"/>
  <c r="U145" i="5"/>
  <c r="V145" i="5" s="1"/>
  <c r="U146" i="5"/>
  <c r="V146" i="5" s="1"/>
  <c r="U147" i="5"/>
  <c r="V147" i="5" s="1"/>
  <c r="U148" i="5"/>
  <c r="V148" i="5" s="1"/>
  <c r="U149" i="5"/>
  <c r="V149" i="5" s="1"/>
  <c r="U150" i="5"/>
  <c r="V150" i="5" s="1"/>
  <c r="U151" i="5"/>
  <c r="V151" i="5" s="1"/>
  <c r="U152" i="5"/>
  <c r="V152" i="5" s="1"/>
  <c r="U153" i="5"/>
  <c r="V153" i="5" s="1"/>
  <c r="X153" i="5" s="1"/>
  <c r="Z153" i="5" s="1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AA150" i="5" s="1"/>
  <c r="AB150" i="5" s="1"/>
  <c r="P73" i="5"/>
  <c r="P74" i="5"/>
  <c r="P76" i="5"/>
  <c r="P77" i="5"/>
  <c r="P79" i="5"/>
  <c r="P80" i="5"/>
  <c r="P82" i="5"/>
  <c r="P83" i="5"/>
  <c r="I86" i="5"/>
  <c r="K86" i="5" s="1"/>
  <c r="I85" i="5"/>
  <c r="K85" i="5" s="1"/>
  <c r="L85" i="5" s="1"/>
  <c r="I84" i="5"/>
  <c r="K84" i="5" s="1"/>
  <c r="L84" i="5" s="1"/>
  <c r="I83" i="5"/>
  <c r="K83" i="5" s="1"/>
  <c r="I82" i="5"/>
  <c r="K82" i="5" s="1"/>
  <c r="L82" i="5" s="1"/>
  <c r="I81" i="5"/>
  <c r="K81" i="5" s="1"/>
  <c r="L81" i="5" s="1"/>
  <c r="I80" i="5"/>
  <c r="K80" i="5" s="1"/>
  <c r="I79" i="5"/>
  <c r="K79" i="5" s="1"/>
  <c r="L79" i="5" s="1"/>
  <c r="I78" i="5"/>
  <c r="K78" i="5" s="1"/>
  <c r="L78" i="5" s="1"/>
  <c r="K87" i="5"/>
  <c r="L87" i="5" s="1"/>
  <c r="K88" i="5"/>
  <c r="L88" i="5" s="1"/>
  <c r="K89" i="5"/>
  <c r="K90" i="5"/>
  <c r="L90" i="5" s="1"/>
  <c r="K91" i="5"/>
  <c r="L91" i="5" s="1"/>
  <c r="K92" i="5"/>
  <c r="K93" i="5"/>
  <c r="L93" i="5" s="1"/>
  <c r="K94" i="5"/>
  <c r="L94" i="5" s="1"/>
  <c r="K95" i="5"/>
  <c r="K96" i="5"/>
  <c r="L96" i="5" s="1"/>
  <c r="K97" i="5"/>
  <c r="L97" i="5" s="1"/>
  <c r="K98" i="5"/>
  <c r="K99" i="5"/>
  <c r="L99" i="5" s="1"/>
  <c r="K100" i="5"/>
  <c r="L100" i="5" s="1"/>
  <c r="K101" i="5"/>
  <c r="K102" i="5"/>
  <c r="L102" i="5" s="1"/>
  <c r="K103" i="5"/>
  <c r="L103" i="5" s="1"/>
  <c r="K104" i="5"/>
  <c r="K105" i="5"/>
  <c r="L105" i="5" s="1"/>
  <c r="K106" i="5"/>
  <c r="L106" i="5" s="1"/>
  <c r="K107" i="5"/>
  <c r="K108" i="5"/>
  <c r="L108" i="5" s="1"/>
  <c r="K109" i="5"/>
  <c r="L109" i="5" s="1"/>
  <c r="K110" i="5"/>
  <c r="K111" i="5"/>
  <c r="L111" i="5" s="1"/>
  <c r="L112" i="5"/>
  <c r="K113" i="5"/>
  <c r="K114" i="5"/>
  <c r="L114" i="5" s="1"/>
  <c r="K115" i="5"/>
  <c r="L115" i="5" s="1"/>
  <c r="K116" i="5"/>
  <c r="K117" i="5"/>
  <c r="L117" i="5" s="1"/>
  <c r="K118" i="5"/>
  <c r="L118" i="5" s="1"/>
  <c r="K119" i="5"/>
  <c r="K120" i="5"/>
  <c r="L120" i="5" s="1"/>
  <c r="K121" i="5"/>
  <c r="L121" i="5" s="1"/>
  <c r="K122" i="5"/>
  <c r="K123" i="5"/>
  <c r="L123" i="5" s="1"/>
  <c r="L124" i="5"/>
  <c r="L125" i="5"/>
  <c r="K126" i="5"/>
  <c r="K127" i="5"/>
  <c r="L127" i="5" s="1"/>
  <c r="K128" i="5"/>
  <c r="K129" i="5"/>
  <c r="L129" i="5" s="1"/>
  <c r="K130" i="5"/>
  <c r="L130" i="5" s="1"/>
  <c r="K131" i="5"/>
  <c r="K132" i="5"/>
  <c r="L132" i="5" s="1"/>
  <c r="K133" i="5"/>
  <c r="L133" i="5" s="1"/>
  <c r="L134" i="5"/>
  <c r="K135" i="5"/>
  <c r="K136" i="5"/>
  <c r="L136" i="5" s="1"/>
  <c r="K137" i="5"/>
  <c r="K138" i="5"/>
  <c r="L138" i="5" s="1"/>
  <c r="K139" i="5"/>
  <c r="L139" i="5" s="1"/>
  <c r="K140" i="5"/>
  <c r="K141" i="5"/>
  <c r="L141" i="5" s="1"/>
  <c r="K142" i="5"/>
  <c r="L142" i="5" s="1"/>
  <c r="K143" i="5"/>
  <c r="K144" i="5"/>
  <c r="L144" i="5" s="1"/>
  <c r="K145" i="5"/>
  <c r="L145" i="5" s="1"/>
  <c r="K146" i="5"/>
  <c r="K147" i="5"/>
  <c r="L147" i="5" s="1"/>
  <c r="K148" i="5"/>
  <c r="L148" i="5" s="1"/>
  <c r="K149" i="5"/>
  <c r="K150" i="5"/>
  <c r="L150" i="5" s="1"/>
  <c r="K151" i="5"/>
  <c r="L151" i="5" s="1"/>
  <c r="K152" i="5"/>
  <c r="K153" i="5"/>
  <c r="L153" i="5" s="1"/>
  <c r="K154" i="5"/>
  <c r="L154" i="5" s="1"/>
  <c r="H78" i="5"/>
  <c r="H79" i="5"/>
  <c r="H80" i="5"/>
  <c r="H81" i="5"/>
  <c r="H82" i="5"/>
  <c r="H83" i="5"/>
  <c r="H84" i="5"/>
  <c r="H85" i="5"/>
  <c r="H86" i="5"/>
  <c r="H87" i="5"/>
  <c r="U87" i="5" s="1"/>
  <c r="H88" i="5"/>
  <c r="T88" i="5" s="1"/>
  <c r="H89" i="5"/>
  <c r="J89" i="5" s="1"/>
  <c r="H90" i="5"/>
  <c r="H91" i="5"/>
  <c r="T91" i="5" s="1"/>
  <c r="H92" i="5"/>
  <c r="H93" i="5"/>
  <c r="J93" i="5" s="1"/>
  <c r="H94" i="5"/>
  <c r="T94" i="5" s="1"/>
  <c r="H95" i="5"/>
  <c r="U95" i="5" s="1"/>
  <c r="H96" i="5"/>
  <c r="T96" i="5" s="1"/>
  <c r="H97" i="5"/>
  <c r="J97" i="5" s="1"/>
  <c r="H98" i="5"/>
  <c r="T98" i="5" s="1"/>
  <c r="J99" i="5"/>
  <c r="H100" i="5"/>
  <c r="J100" i="5" s="1"/>
  <c r="H101" i="5"/>
  <c r="H102" i="5"/>
  <c r="J102" i="5" s="1"/>
  <c r="H103" i="5"/>
  <c r="J103" i="5" s="1"/>
  <c r="H104" i="5"/>
  <c r="J104" i="5" s="1"/>
  <c r="H105" i="5"/>
  <c r="H106" i="5"/>
  <c r="J106" i="5" s="1"/>
  <c r="H107" i="5"/>
  <c r="J107" i="5" s="1"/>
  <c r="H108" i="5"/>
  <c r="J108" i="5" s="1"/>
  <c r="H109" i="5"/>
  <c r="H110" i="5"/>
  <c r="H111" i="5"/>
  <c r="J111" i="5" s="1"/>
  <c r="H112" i="5"/>
  <c r="J112" i="5" s="1"/>
  <c r="H113" i="5"/>
  <c r="H114" i="5"/>
  <c r="H115" i="5"/>
  <c r="J115" i="5" s="1"/>
  <c r="H116" i="5"/>
  <c r="J116" i="5" s="1"/>
  <c r="H117" i="5"/>
  <c r="J118" i="5"/>
  <c r="J119" i="5"/>
  <c r="J120" i="5"/>
  <c r="J121" i="5"/>
  <c r="J122" i="5"/>
  <c r="J123" i="5"/>
  <c r="J124" i="5"/>
  <c r="J126" i="5"/>
  <c r="J127" i="5"/>
  <c r="J128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H76" i="5"/>
  <c r="H77" i="5"/>
  <c r="I77" i="5"/>
  <c r="K77" i="5" s="1"/>
  <c r="I76" i="5"/>
  <c r="K76" i="5" s="1"/>
  <c r="L76" i="5" s="1"/>
  <c r="I75" i="5"/>
  <c r="H75" i="5"/>
  <c r="U75" i="5" s="1"/>
  <c r="AD150" i="5" l="1"/>
  <c r="AD120" i="5"/>
  <c r="AD153" i="5"/>
  <c r="AD141" i="5"/>
  <c r="AA141" i="5"/>
  <c r="AB141" i="5" s="1"/>
  <c r="M156" i="5"/>
  <c r="O156" i="5" s="1"/>
  <c r="AD156" i="5"/>
  <c r="J86" i="5"/>
  <c r="AA138" i="5"/>
  <c r="AB138" i="5" s="1"/>
  <c r="M129" i="5"/>
  <c r="O129" i="5" s="1"/>
  <c r="J80" i="5"/>
  <c r="P76" i="6"/>
  <c r="O81" i="6"/>
  <c r="P156" i="5"/>
  <c r="L89" i="5"/>
  <c r="AE89" i="5" s="1"/>
  <c r="L152" i="5"/>
  <c r="Q150" i="5" s="1"/>
  <c r="S150" i="5" s="1"/>
  <c r="L140" i="5"/>
  <c r="AE140" i="5" s="1"/>
  <c r="L128" i="5"/>
  <c r="L116" i="5"/>
  <c r="AE114" i="5" s="1"/>
  <c r="L104" i="5"/>
  <c r="AE102" i="5" s="1"/>
  <c r="L92" i="5"/>
  <c r="L80" i="5"/>
  <c r="Q78" i="5" s="1"/>
  <c r="S78" i="5" s="1"/>
  <c r="L149" i="5"/>
  <c r="AE148" i="5" s="1"/>
  <c r="L137" i="5"/>
  <c r="AE137" i="5" s="1"/>
  <c r="L113" i="5"/>
  <c r="L101" i="5"/>
  <c r="Q99" i="5" s="1"/>
  <c r="S99" i="5" s="1"/>
  <c r="L83" i="5"/>
  <c r="AE82" i="5" s="1"/>
  <c r="L77" i="5"/>
  <c r="AE77" i="5" s="1"/>
  <c r="L143" i="5"/>
  <c r="L135" i="5"/>
  <c r="L131" i="5"/>
  <c r="Q129" i="5" s="1"/>
  <c r="S129" i="5" s="1"/>
  <c r="L119" i="5"/>
  <c r="AE119" i="5" s="1"/>
  <c r="L107" i="5"/>
  <c r="Q105" i="5" s="1"/>
  <c r="S105" i="5" s="1"/>
  <c r="L95" i="5"/>
  <c r="AE94" i="5" s="1"/>
  <c r="L146" i="5"/>
  <c r="AE146" i="5" s="1"/>
  <c r="L126" i="5"/>
  <c r="AE124" i="5" s="1"/>
  <c r="L122" i="5"/>
  <c r="Q120" i="5" s="1"/>
  <c r="S120" i="5" s="1"/>
  <c r="L110" i="5"/>
  <c r="Q108" i="5" s="1"/>
  <c r="S108" i="5" s="1"/>
  <c r="L98" i="5"/>
  <c r="AE97" i="5" s="1"/>
  <c r="L86" i="5"/>
  <c r="AE84" i="5" s="1"/>
  <c r="X150" i="5"/>
  <c r="Z150" i="5" s="1"/>
  <c r="Q76" i="6"/>
  <c r="J76" i="6"/>
  <c r="P79" i="6"/>
  <c r="J82" i="6"/>
  <c r="P82" i="6"/>
  <c r="V80" i="6" s="1"/>
  <c r="Q147" i="5"/>
  <c r="S147" i="5" s="1"/>
  <c r="M153" i="5"/>
  <c r="O75" i="6"/>
  <c r="Q75" i="6" s="1"/>
  <c r="O80" i="6"/>
  <c r="Q80" i="6" s="1"/>
  <c r="J81" i="6"/>
  <c r="Q153" i="5"/>
  <c r="S153" i="5" s="1"/>
  <c r="Q123" i="5"/>
  <c r="S123" i="5" s="1"/>
  <c r="J83" i="5"/>
  <c r="Q144" i="5"/>
  <c r="S144" i="5" s="1"/>
  <c r="P155" i="5"/>
  <c r="P154" i="5"/>
  <c r="AE153" i="5"/>
  <c r="AD147" i="5"/>
  <c r="X147" i="5"/>
  <c r="Z147" i="5" s="1"/>
  <c r="AA147" i="5"/>
  <c r="AB147" i="5" s="1"/>
  <c r="X144" i="5"/>
  <c r="Z144" i="5" s="1"/>
  <c r="AA144" i="5"/>
  <c r="AB144" i="5" s="1"/>
  <c r="J86" i="6"/>
  <c r="X141" i="5"/>
  <c r="Z141" i="5" s="1"/>
  <c r="X138" i="5"/>
  <c r="Z138" i="5" s="1"/>
  <c r="AA135" i="5"/>
  <c r="AB135" i="5" s="1"/>
  <c r="X135" i="5"/>
  <c r="Z135" i="5" s="1"/>
  <c r="J85" i="6"/>
  <c r="K84" i="6"/>
  <c r="L84" i="6" s="1"/>
  <c r="J76" i="5"/>
  <c r="J91" i="5"/>
  <c r="T75" i="5"/>
  <c r="J75" i="5"/>
  <c r="M132" i="5"/>
  <c r="P134" i="5"/>
  <c r="J77" i="5"/>
  <c r="AA129" i="5"/>
  <c r="AB129" i="5" s="1"/>
  <c r="AA132" i="5"/>
  <c r="AB132" i="5" s="1"/>
  <c r="X132" i="5"/>
  <c r="Z132" i="5" s="1"/>
  <c r="X126" i="5"/>
  <c r="Z126" i="5" s="1"/>
  <c r="X129" i="5"/>
  <c r="Z129" i="5" s="1"/>
  <c r="AA126" i="5"/>
  <c r="AB126" i="5" s="1"/>
  <c r="AA123" i="5"/>
  <c r="AB123" i="5" s="1"/>
  <c r="X123" i="5"/>
  <c r="Z123" i="5" s="1"/>
  <c r="X120" i="5"/>
  <c r="Z120" i="5" s="1"/>
  <c r="AA120" i="5"/>
  <c r="AB120" i="5" s="1"/>
  <c r="AE106" i="5"/>
  <c r="AE134" i="5"/>
  <c r="AE122" i="5"/>
  <c r="P136" i="5"/>
  <c r="P130" i="5"/>
  <c r="P118" i="5"/>
  <c r="K75" i="5"/>
  <c r="L75" i="5" s="1"/>
  <c r="AD135" i="5"/>
  <c r="M135" i="5"/>
  <c r="AD129" i="5"/>
  <c r="U110" i="5"/>
  <c r="T110" i="5"/>
  <c r="U106" i="5"/>
  <c r="T106" i="5"/>
  <c r="T86" i="5"/>
  <c r="U86" i="5"/>
  <c r="V86" i="5" s="1"/>
  <c r="AE133" i="5"/>
  <c r="AE121" i="5"/>
  <c r="AE105" i="5"/>
  <c r="U77" i="5"/>
  <c r="T77" i="5"/>
  <c r="P142" i="5"/>
  <c r="AD138" i="5"/>
  <c r="M138" i="5"/>
  <c r="AD132" i="5"/>
  <c r="P128" i="5"/>
  <c r="P124" i="5"/>
  <c r="M120" i="5"/>
  <c r="J110" i="5"/>
  <c r="J117" i="5"/>
  <c r="P115" i="5" s="1"/>
  <c r="U117" i="5"/>
  <c r="T117" i="5"/>
  <c r="AA117" i="5" s="1"/>
  <c r="AB117" i="5" s="1"/>
  <c r="J113" i="5"/>
  <c r="U113" i="5"/>
  <c r="T113" i="5"/>
  <c r="J109" i="5"/>
  <c r="U109" i="5"/>
  <c r="T109" i="5"/>
  <c r="J105" i="5"/>
  <c r="U105" i="5"/>
  <c r="T105" i="5"/>
  <c r="J101" i="5"/>
  <c r="AD99" i="5" s="1"/>
  <c r="U101" i="5"/>
  <c r="T101" i="5"/>
  <c r="J85" i="5"/>
  <c r="U85" i="5"/>
  <c r="V85" i="5" s="1"/>
  <c r="T85" i="5"/>
  <c r="J81" i="5"/>
  <c r="U81" i="5"/>
  <c r="T81" i="5"/>
  <c r="AE142" i="5"/>
  <c r="AE138" i="5"/>
  <c r="Q138" i="5"/>
  <c r="S138" i="5" s="1"/>
  <c r="AE132" i="5"/>
  <c r="Q132" i="5"/>
  <c r="S132" i="5" s="1"/>
  <c r="AE120" i="5"/>
  <c r="AE112" i="5"/>
  <c r="AE141" i="5"/>
  <c r="Q141" i="5"/>
  <c r="S141" i="5" s="1"/>
  <c r="AE123" i="5"/>
  <c r="AE107" i="5"/>
  <c r="AE99" i="5"/>
  <c r="M150" i="5"/>
  <c r="P122" i="5"/>
  <c r="P143" i="5"/>
  <c r="P139" i="5"/>
  <c r="P133" i="5"/>
  <c r="P121" i="5"/>
  <c r="P106" i="5"/>
  <c r="U114" i="5"/>
  <c r="T114" i="5"/>
  <c r="T90" i="5"/>
  <c r="U90" i="5"/>
  <c r="V90" i="5" s="1"/>
  <c r="J82" i="5"/>
  <c r="T82" i="5"/>
  <c r="U82" i="5"/>
  <c r="J78" i="5"/>
  <c r="T78" i="5"/>
  <c r="U78" i="5"/>
  <c r="AE143" i="5"/>
  <c r="AE113" i="5"/>
  <c r="U76" i="5"/>
  <c r="T76" i="5"/>
  <c r="P145" i="5"/>
  <c r="M141" i="5"/>
  <c r="P137" i="5"/>
  <c r="P131" i="5"/>
  <c r="P127" i="5"/>
  <c r="AD123" i="5"/>
  <c r="M123" i="5"/>
  <c r="P119" i="5"/>
  <c r="J114" i="5"/>
  <c r="J95" i="5"/>
  <c r="U116" i="5"/>
  <c r="T116" i="5"/>
  <c r="U112" i="5"/>
  <c r="T112" i="5"/>
  <c r="U108" i="5"/>
  <c r="T108" i="5"/>
  <c r="U104" i="5"/>
  <c r="T104" i="5"/>
  <c r="U100" i="5"/>
  <c r="T100" i="5"/>
  <c r="T92" i="5"/>
  <c r="U92" i="5"/>
  <c r="V92" i="5" s="1"/>
  <c r="J84" i="5"/>
  <c r="U84" i="5"/>
  <c r="T84" i="5"/>
  <c r="U80" i="5"/>
  <c r="T80" i="5"/>
  <c r="M147" i="5"/>
  <c r="V75" i="5"/>
  <c r="AD144" i="5"/>
  <c r="M144" i="5"/>
  <c r="U115" i="5"/>
  <c r="T115" i="5"/>
  <c r="U111" i="5"/>
  <c r="T111" i="5"/>
  <c r="U107" i="5"/>
  <c r="T107" i="5"/>
  <c r="U103" i="5"/>
  <c r="T103" i="5"/>
  <c r="U99" i="5"/>
  <c r="T99" i="5"/>
  <c r="T83" i="5"/>
  <c r="U83" i="5"/>
  <c r="J79" i="5"/>
  <c r="T79" i="5"/>
  <c r="U79" i="5"/>
  <c r="AE111" i="5"/>
  <c r="Q111" i="5"/>
  <c r="S111" i="5" s="1"/>
  <c r="P146" i="5"/>
  <c r="P140" i="5"/>
  <c r="AD126" i="5"/>
  <c r="M126" i="5"/>
  <c r="AD102" i="5"/>
  <c r="M102" i="5"/>
  <c r="P125" i="5"/>
  <c r="U102" i="5"/>
  <c r="T102" i="5"/>
  <c r="AF151" i="5"/>
  <c r="AF147" i="5"/>
  <c r="AC147" i="5"/>
  <c r="AF143" i="5"/>
  <c r="AF139" i="5"/>
  <c r="AF135" i="5"/>
  <c r="AC135" i="5"/>
  <c r="AF133" i="5"/>
  <c r="AF129" i="5"/>
  <c r="AC129" i="5"/>
  <c r="AF125" i="5"/>
  <c r="AF121" i="5"/>
  <c r="AF150" i="5"/>
  <c r="AC150" i="5"/>
  <c r="AF146" i="5"/>
  <c r="AF142" i="5"/>
  <c r="AF138" i="5"/>
  <c r="AC138" i="5"/>
  <c r="AF132" i="5"/>
  <c r="AC132" i="5"/>
  <c r="AF128" i="5"/>
  <c r="AF124" i="5"/>
  <c r="AF120" i="5"/>
  <c r="AC120" i="5"/>
  <c r="AC153" i="5"/>
  <c r="AF153" i="5"/>
  <c r="AF149" i="5"/>
  <c r="AF145" i="5"/>
  <c r="AF141" i="5"/>
  <c r="AC141" i="5"/>
  <c r="AF137" i="5"/>
  <c r="AF131" i="5"/>
  <c r="AF127" i="5"/>
  <c r="AF123" i="5"/>
  <c r="AC123" i="5"/>
  <c r="AF119" i="5"/>
  <c r="AF152" i="5"/>
  <c r="AF148" i="5"/>
  <c r="AF144" i="5"/>
  <c r="AC144" i="5"/>
  <c r="AF140" i="5"/>
  <c r="AF136" i="5"/>
  <c r="AF134" i="5"/>
  <c r="AF130" i="5"/>
  <c r="AF126" i="5"/>
  <c r="AC126" i="5"/>
  <c r="AF122" i="5"/>
  <c r="AF118" i="5"/>
  <c r="U78" i="6"/>
  <c r="N78" i="6"/>
  <c r="V79" i="6"/>
  <c r="V83" i="6"/>
  <c r="V86" i="6"/>
  <c r="Q77" i="6"/>
  <c r="Q78" i="6"/>
  <c r="T85" i="6"/>
  <c r="R84" i="6"/>
  <c r="S84" i="6" s="1"/>
  <c r="V84" i="6"/>
  <c r="T86" i="6"/>
  <c r="V85" i="6"/>
  <c r="P77" i="6"/>
  <c r="R75" i="6" s="1"/>
  <c r="S75" i="6" s="1"/>
  <c r="J79" i="6"/>
  <c r="P78" i="6"/>
  <c r="O83" i="6"/>
  <c r="K81" i="6"/>
  <c r="L81" i="6" s="1"/>
  <c r="O84" i="6"/>
  <c r="K85" i="6"/>
  <c r="L85" i="6" s="1"/>
  <c r="O85" i="6"/>
  <c r="U77" i="6"/>
  <c r="J83" i="6"/>
  <c r="K83" i="6"/>
  <c r="L83" i="6" s="1"/>
  <c r="O86" i="6"/>
  <c r="Q86" i="6" s="1"/>
  <c r="J78" i="6"/>
  <c r="J75" i="6"/>
  <c r="J77" i="6"/>
  <c r="K76" i="6"/>
  <c r="L76" i="6" s="1"/>
  <c r="U75" i="6" s="1"/>
  <c r="J80" i="6"/>
  <c r="J98" i="5"/>
  <c r="U98" i="5"/>
  <c r="P97" i="5"/>
  <c r="T97" i="5"/>
  <c r="U97" i="5"/>
  <c r="U96" i="5"/>
  <c r="J96" i="5"/>
  <c r="V95" i="5"/>
  <c r="T95" i="5"/>
  <c r="J94" i="5"/>
  <c r="U94" i="5"/>
  <c r="T93" i="5"/>
  <c r="U93" i="5"/>
  <c r="J92" i="5"/>
  <c r="J90" i="5"/>
  <c r="AE92" i="5"/>
  <c r="AE91" i="5"/>
  <c r="U91" i="5"/>
  <c r="P91" i="5"/>
  <c r="AE90" i="5"/>
  <c r="Q90" i="5"/>
  <c r="S90" i="5" s="1"/>
  <c r="U89" i="5"/>
  <c r="T89" i="5"/>
  <c r="J88" i="5"/>
  <c r="U88" i="5"/>
  <c r="V87" i="5"/>
  <c r="J87" i="5"/>
  <c r="T87" i="5"/>
  <c r="T76" i="6" l="1"/>
  <c r="Q87" i="5"/>
  <c r="S87" i="5" s="1"/>
  <c r="AE87" i="5"/>
  <c r="AE88" i="5"/>
  <c r="M93" i="5"/>
  <c r="O93" i="5" s="1"/>
  <c r="Q81" i="5"/>
  <c r="S81" i="5" s="1"/>
  <c r="AA102" i="5"/>
  <c r="AB102" i="5" s="1"/>
  <c r="AE131" i="5"/>
  <c r="AE116" i="5"/>
  <c r="Q114" i="5"/>
  <c r="S114" i="5" s="1"/>
  <c r="AE145" i="5"/>
  <c r="AE76" i="5"/>
  <c r="AE136" i="5"/>
  <c r="AE144" i="5"/>
  <c r="AE149" i="5"/>
  <c r="AE117" i="5"/>
  <c r="AE86" i="5"/>
  <c r="AE96" i="5"/>
  <c r="AE98" i="5"/>
  <c r="AE83" i="5"/>
  <c r="AE129" i="5"/>
  <c r="AE81" i="5"/>
  <c r="AE115" i="5"/>
  <c r="AE147" i="5"/>
  <c r="AE151" i="5"/>
  <c r="Q96" i="5"/>
  <c r="S96" i="5" s="1"/>
  <c r="Q84" i="5"/>
  <c r="S84" i="5" s="1"/>
  <c r="AE118" i="5"/>
  <c r="AE130" i="5"/>
  <c r="AE85" i="5"/>
  <c r="Q117" i="5"/>
  <c r="S117" i="5" s="1"/>
  <c r="AE78" i="5"/>
  <c r="AE139" i="5"/>
  <c r="P129" i="5"/>
  <c r="AE152" i="5"/>
  <c r="AE125" i="5"/>
  <c r="AE104" i="5"/>
  <c r="Q102" i="5"/>
  <c r="S102" i="5" s="1"/>
  <c r="Q135" i="5"/>
  <c r="S135" i="5" s="1"/>
  <c r="AE103" i="5"/>
  <c r="AE150" i="5"/>
  <c r="AE126" i="5"/>
  <c r="R81" i="6"/>
  <c r="S81" i="6" s="1"/>
  <c r="AE79" i="5"/>
  <c r="AE101" i="5"/>
  <c r="P126" i="5"/>
  <c r="O126" i="5"/>
  <c r="P123" i="5"/>
  <c r="O123" i="5"/>
  <c r="AE100" i="5"/>
  <c r="AE128" i="5"/>
  <c r="AE110" i="5"/>
  <c r="P132" i="5"/>
  <c r="O132" i="5"/>
  <c r="V81" i="6"/>
  <c r="P93" i="5"/>
  <c r="Q93" i="5"/>
  <c r="S93" i="5" s="1"/>
  <c r="AE109" i="5"/>
  <c r="AE135" i="5"/>
  <c r="AE127" i="5"/>
  <c r="AE80" i="5"/>
  <c r="P120" i="5"/>
  <c r="O120" i="5"/>
  <c r="AE93" i="5"/>
  <c r="AE95" i="5"/>
  <c r="V82" i="6"/>
  <c r="P102" i="5"/>
  <c r="O102" i="5"/>
  <c r="AE108" i="5"/>
  <c r="Q126" i="5"/>
  <c r="S126" i="5" s="1"/>
  <c r="P144" i="5"/>
  <c r="O144" i="5"/>
  <c r="P150" i="5"/>
  <c r="O150" i="5"/>
  <c r="P153" i="5"/>
  <c r="O153" i="5"/>
  <c r="P141" i="5"/>
  <c r="O141" i="5"/>
  <c r="P138" i="5"/>
  <c r="O138" i="5"/>
  <c r="P135" i="5"/>
  <c r="O135" i="5"/>
  <c r="P147" i="5"/>
  <c r="O147" i="5"/>
  <c r="Q79" i="6"/>
  <c r="AD75" i="5"/>
  <c r="M84" i="6"/>
  <c r="N84" i="6"/>
  <c r="T84" i="6"/>
  <c r="Q82" i="6"/>
  <c r="AA90" i="5"/>
  <c r="AB90" i="5" s="1"/>
  <c r="M75" i="5"/>
  <c r="AF75" i="5"/>
  <c r="M108" i="5"/>
  <c r="P92" i="5"/>
  <c r="P100" i="5"/>
  <c r="AC75" i="5"/>
  <c r="AA84" i="5"/>
  <c r="AB84" i="5" s="1"/>
  <c r="AF85" i="5"/>
  <c r="AA108" i="5"/>
  <c r="AB108" i="5" s="1"/>
  <c r="P89" i="5"/>
  <c r="M99" i="5"/>
  <c r="AA105" i="5"/>
  <c r="AB105" i="5" s="1"/>
  <c r="P116" i="5"/>
  <c r="AA114" i="5"/>
  <c r="AB114" i="5" s="1"/>
  <c r="AA111" i="5"/>
  <c r="AB111" i="5" s="1"/>
  <c r="M111" i="5"/>
  <c r="P112" i="5"/>
  <c r="AD111" i="5"/>
  <c r="AD108" i="5"/>
  <c r="P107" i="5"/>
  <c r="P104" i="5"/>
  <c r="P103" i="5"/>
  <c r="AA99" i="5"/>
  <c r="AB99" i="5" s="1"/>
  <c r="T75" i="6"/>
  <c r="M75" i="6"/>
  <c r="U83" i="6"/>
  <c r="Q84" i="6"/>
  <c r="T79" i="6"/>
  <c r="AF83" i="5"/>
  <c r="V83" i="5"/>
  <c r="AF84" i="5"/>
  <c r="V84" i="5"/>
  <c r="X84" i="5" s="1"/>
  <c r="Z84" i="5" s="1"/>
  <c r="AC84" i="5"/>
  <c r="AF76" i="5"/>
  <c r="V76" i="5"/>
  <c r="AA78" i="5"/>
  <c r="AB78" i="5" s="1"/>
  <c r="AF101" i="5"/>
  <c r="V101" i="5"/>
  <c r="AD105" i="5"/>
  <c r="M105" i="5"/>
  <c r="AF117" i="5"/>
  <c r="AC117" i="5"/>
  <c r="V117" i="5"/>
  <c r="X117" i="5" s="1"/>
  <c r="Z117" i="5" s="1"/>
  <c r="P110" i="5"/>
  <c r="AF106" i="5"/>
  <c r="V106" i="5"/>
  <c r="P88" i="5"/>
  <c r="T80" i="6"/>
  <c r="T83" i="6"/>
  <c r="Q85" i="6"/>
  <c r="N81" i="6"/>
  <c r="U81" i="6"/>
  <c r="V77" i="6"/>
  <c r="V75" i="6"/>
  <c r="U80" i="6"/>
  <c r="AF79" i="5"/>
  <c r="V79" i="5"/>
  <c r="AF103" i="5"/>
  <c r="V103" i="5"/>
  <c r="AF111" i="5"/>
  <c r="AC111" i="5"/>
  <c r="V111" i="5"/>
  <c r="AD84" i="5"/>
  <c r="M84" i="5"/>
  <c r="AF100" i="5"/>
  <c r="V100" i="5"/>
  <c r="AF108" i="5"/>
  <c r="AC108" i="5"/>
  <c r="V108" i="5"/>
  <c r="AF116" i="5"/>
  <c r="V116" i="5"/>
  <c r="AD78" i="5"/>
  <c r="M78" i="5"/>
  <c r="AF114" i="5"/>
  <c r="AC114" i="5"/>
  <c r="V114" i="5"/>
  <c r="AA81" i="5"/>
  <c r="AB81" i="5" s="1"/>
  <c r="P101" i="5"/>
  <c r="AF113" i="5"/>
  <c r="V113" i="5"/>
  <c r="AD117" i="5"/>
  <c r="M117" i="5"/>
  <c r="U76" i="6"/>
  <c r="U84" i="6"/>
  <c r="N75" i="6"/>
  <c r="Q83" i="6"/>
  <c r="M81" i="6"/>
  <c r="U82" i="6"/>
  <c r="T82" i="6"/>
  <c r="AF80" i="5"/>
  <c r="V80" i="5"/>
  <c r="AD114" i="5"/>
  <c r="M114" i="5"/>
  <c r="AF82" i="5"/>
  <c r="V82" i="5"/>
  <c r="AA75" i="5"/>
  <c r="AB75" i="5" s="1"/>
  <c r="AF81" i="5"/>
  <c r="AC81" i="5"/>
  <c r="V81" i="5"/>
  <c r="X81" i="5" s="1"/>
  <c r="Z81" i="5" s="1"/>
  <c r="AF109" i="5"/>
  <c r="V109" i="5"/>
  <c r="P113" i="5"/>
  <c r="AF77" i="5"/>
  <c r="V77" i="5"/>
  <c r="AF110" i="5"/>
  <c r="V110" i="5"/>
  <c r="AE75" i="5"/>
  <c r="Q75" i="5"/>
  <c r="S75" i="5" s="1"/>
  <c r="T77" i="6"/>
  <c r="T78" i="6"/>
  <c r="M78" i="6"/>
  <c r="U85" i="6"/>
  <c r="R78" i="6"/>
  <c r="S78" i="6" s="1"/>
  <c r="V78" i="6"/>
  <c r="V76" i="6"/>
  <c r="T81" i="6"/>
  <c r="Q81" i="6"/>
  <c r="U79" i="6"/>
  <c r="AF102" i="5"/>
  <c r="AC102" i="5"/>
  <c r="V102" i="5"/>
  <c r="AF99" i="5"/>
  <c r="AC99" i="5"/>
  <c r="V99" i="5"/>
  <c r="AF107" i="5"/>
  <c r="V107" i="5"/>
  <c r="AF115" i="5"/>
  <c r="V115" i="5"/>
  <c r="AF104" i="5"/>
  <c r="V104" i="5"/>
  <c r="AF112" i="5"/>
  <c r="V112" i="5"/>
  <c r="AF78" i="5"/>
  <c r="AC78" i="5"/>
  <c r="V78" i="5"/>
  <c r="AD81" i="5"/>
  <c r="M81" i="5"/>
  <c r="AF105" i="5"/>
  <c r="AC105" i="5"/>
  <c r="V105" i="5"/>
  <c r="P109" i="5"/>
  <c r="P98" i="5"/>
  <c r="AF98" i="5"/>
  <c r="V98" i="5"/>
  <c r="AF97" i="5"/>
  <c r="V97" i="5"/>
  <c r="AA96" i="5"/>
  <c r="AB96" i="5" s="1"/>
  <c r="M96" i="5"/>
  <c r="AD96" i="5"/>
  <c r="AF96" i="5"/>
  <c r="V96" i="5"/>
  <c r="AC96" i="5"/>
  <c r="P95" i="5"/>
  <c r="AF95" i="5"/>
  <c r="AA93" i="5"/>
  <c r="AB93" i="5" s="1"/>
  <c r="AF92" i="5"/>
  <c r="AF94" i="5"/>
  <c r="V94" i="5"/>
  <c r="P94" i="5"/>
  <c r="AD93" i="5"/>
  <c r="AC93" i="5"/>
  <c r="AF93" i="5"/>
  <c r="V93" i="5"/>
  <c r="M90" i="5"/>
  <c r="AD90" i="5"/>
  <c r="V91" i="5"/>
  <c r="X90" i="5" s="1"/>
  <c r="Z90" i="5" s="1"/>
  <c r="AF91" i="5"/>
  <c r="AF90" i="5"/>
  <c r="AC90" i="5"/>
  <c r="AF87" i="5"/>
  <c r="AF89" i="5"/>
  <c r="V89" i="5"/>
  <c r="AF88" i="5"/>
  <c r="V88" i="5"/>
  <c r="AC87" i="5"/>
  <c r="AF86" i="5"/>
  <c r="AA87" i="5"/>
  <c r="AB87" i="5" s="1"/>
  <c r="M87" i="5"/>
  <c r="P85" i="5"/>
  <c r="AD87" i="5"/>
  <c r="P86" i="5"/>
  <c r="H31" i="8"/>
  <c r="G4" i="8"/>
  <c r="H4" i="8" s="1"/>
  <c r="H5" i="8"/>
  <c r="G6" i="8"/>
  <c r="H6" i="8" s="1"/>
  <c r="G7" i="8"/>
  <c r="H7" i="8" s="1"/>
  <c r="G8" i="8"/>
  <c r="T9" i="8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G17" i="8"/>
  <c r="H17" i="8" s="1"/>
  <c r="G18" i="8"/>
  <c r="H18" i="8" s="1"/>
  <c r="G19" i="8"/>
  <c r="H19" i="8" s="1"/>
  <c r="G20" i="8"/>
  <c r="H20" i="8" s="1"/>
  <c r="G21" i="8"/>
  <c r="H21" i="8" s="1"/>
  <c r="G22" i="8"/>
  <c r="H22" i="8" s="1"/>
  <c r="G23" i="8"/>
  <c r="H23" i="8" s="1"/>
  <c r="G24" i="8"/>
  <c r="H24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" i="8"/>
  <c r="H3" i="8" s="1"/>
  <c r="G95" i="8"/>
  <c r="H95" i="8" s="1"/>
  <c r="G80" i="8"/>
  <c r="H80" i="8" s="1"/>
  <c r="G81" i="8"/>
  <c r="H81" i="8" s="1"/>
  <c r="G82" i="8"/>
  <c r="H82" i="8" s="1"/>
  <c r="G83" i="8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79" i="8"/>
  <c r="H79" i="8" s="1"/>
  <c r="P90" i="5" l="1"/>
  <c r="O90" i="5"/>
  <c r="P114" i="5"/>
  <c r="O114" i="5"/>
  <c r="X78" i="5"/>
  <c r="Z78" i="5" s="1"/>
  <c r="P117" i="5"/>
  <c r="O117" i="5"/>
  <c r="P75" i="5"/>
  <c r="O75" i="5"/>
  <c r="P84" i="5"/>
  <c r="O84" i="5"/>
  <c r="P105" i="5"/>
  <c r="O105" i="5"/>
  <c r="P87" i="5"/>
  <c r="O87" i="5"/>
  <c r="P96" i="5"/>
  <c r="O96" i="5"/>
  <c r="P78" i="5"/>
  <c r="O78" i="5"/>
  <c r="P81" i="5"/>
  <c r="O81" i="5"/>
  <c r="P111" i="5"/>
  <c r="O111" i="5"/>
  <c r="P99" i="5"/>
  <c r="O99" i="5"/>
  <c r="P108" i="5"/>
  <c r="O108" i="5"/>
  <c r="H83" i="8"/>
  <c r="T83" i="8"/>
  <c r="H8" i="8"/>
  <c r="T8" i="8"/>
  <c r="X114" i="5"/>
  <c r="Z114" i="5" s="1"/>
  <c r="X111" i="5"/>
  <c r="Z111" i="5" s="1"/>
  <c r="X108" i="5"/>
  <c r="Z108" i="5" s="1"/>
  <c r="X105" i="5"/>
  <c r="Z105" i="5" s="1"/>
  <c r="X102" i="5"/>
  <c r="Z102" i="5" s="1"/>
  <c r="X99" i="5"/>
  <c r="Z99" i="5" s="1"/>
  <c r="X75" i="5"/>
  <c r="Z75" i="5" s="1"/>
  <c r="H16" i="8"/>
  <c r="T16" i="8"/>
  <c r="X96" i="5"/>
  <c r="Z96" i="5" s="1"/>
  <c r="X93" i="5"/>
  <c r="Z93" i="5" s="1"/>
  <c r="X87" i="5"/>
  <c r="Z87" i="5" s="1"/>
  <c r="K67" i="5" l="1"/>
  <c r="L67" i="5" s="1"/>
  <c r="AJ109" i="8" l="1"/>
  <c r="T109" i="8"/>
  <c r="AJ108" i="8"/>
  <c r="T108" i="8"/>
  <c r="AJ107" i="8"/>
  <c r="T107" i="8"/>
  <c r="AJ106" i="8"/>
  <c r="T106" i="8"/>
  <c r="AJ105" i="8"/>
  <c r="T105" i="8"/>
  <c r="AJ104" i="8"/>
  <c r="T104" i="8"/>
  <c r="AJ103" i="8"/>
  <c r="T103" i="8"/>
  <c r="AJ102" i="8"/>
  <c r="T102" i="8"/>
  <c r="AJ101" i="8"/>
  <c r="T101" i="8"/>
  <c r="AJ100" i="8"/>
  <c r="T100" i="8"/>
  <c r="AJ99" i="8"/>
  <c r="T99" i="8"/>
  <c r="AJ98" i="8"/>
  <c r="T98" i="8"/>
  <c r="AJ97" i="8"/>
  <c r="T97" i="8"/>
  <c r="AJ96" i="8"/>
  <c r="T96" i="8"/>
  <c r="AJ95" i="8"/>
  <c r="AJ94" i="8"/>
  <c r="T94" i="8"/>
  <c r="AJ93" i="8"/>
  <c r="T93" i="8"/>
  <c r="AJ92" i="8"/>
  <c r="T92" i="8"/>
  <c r="AJ91" i="8"/>
  <c r="T91" i="8"/>
  <c r="AJ90" i="8"/>
  <c r="T90" i="8"/>
  <c r="AJ89" i="8"/>
  <c r="T89" i="8"/>
  <c r="AJ88" i="8"/>
  <c r="T88" i="8"/>
  <c r="AJ87" i="8"/>
  <c r="T87" i="8"/>
  <c r="AJ86" i="8"/>
  <c r="T86" i="8"/>
  <c r="AJ85" i="8"/>
  <c r="T85" i="8"/>
  <c r="AJ84" i="8"/>
  <c r="T84" i="8"/>
  <c r="AJ83" i="8"/>
  <c r="AJ82" i="8"/>
  <c r="T82" i="8"/>
  <c r="AJ81" i="8"/>
  <c r="T81" i="8"/>
  <c r="AJ80" i="8"/>
  <c r="T80" i="8"/>
  <c r="AJ79" i="8"/>
  <c r="T79" i="8"/>
  <c r="U79" i="8" s="1"/>
  <c r="I79" i="8"/>
  <c r="J79" i="8" s="1"/>
  <c r="K79" i="8" s="1"/>
  <c r="L79" i="8" s="1"/>
  <c r="AJ33" i="8"/>
  <c r="T33" i="8"/>
  <c r="AJ32" i="8"/>
  <c r="T32" i="8"/>
  <c r="AJ31" i="8"/>
  <c r="T31" i="8"/>
  <c r="AJ30" i="8"/>
  <c r="T30" i="8"/>
  <c r="AJ29" i="8"/>
  <c r="T29" i="8"/>
  <c r="AJ28" i="8"/>
  <c r="T28" i="8"/>
  <c r="AJ27" i="8"/>
  <c r="T27" i="8"/>
  <c r="AJ26" i="8"/>
  <c r="T26" i="8"/>
  <c r="AJ25" i="8"/>
  <c r="T25" i="8"/>
  <c r="AJ24" i="8"/>
  <c r="T24" i="8"/>
  <c r="AJ23" i="8"/>
  <c r="T23" i="8"/>
  <c r="AJ22" i="8"/>
  <c r="T22" i="8"/>
  <c r="AJ21" i="8"/>
  <c r="T21" i="8"/>
  <c r="AJ20" i="8"/>
  <c r="T20" i="8"/>
  <c r="T19" i="8"/>
  <c r="AJ18" i="8"/>
  <c r="T18" i="8"/>
  <c r="AJ17" i="8"/>
  <c r="T17" i="8"/>
  <c r="AJ16" i="8"/>
  <c r="AJ15" i="8"/>
  <c r="T15" i="8"/>
  <c r="AJ14" i="8"/>
  <c r="T14" i="8"/>
  <c r="AJ13" i="8"/>
  <c r="T13" i="8"/>
  <c r="AJ12" i="8"/>
  <c r="T12" i="8"/>
  <c r="AJ11" i="8"/>
  <c r="T11" i="8"/>
  <c r="AJ10" i="8"/>
  <c r="T10" i="8"/>
  <c r="AJ9" i="8"/>
  <c r="AJ8" i="8"/>
  <c r="AJ7" i="8"/>
  <c r="T7" i="8"/>
  <c r="AJ6" i="8"/>
  <c r="T6" i="8"/>
  <c r="AJ5" i="8"/>
  <c r="T5" i="8"/>
  <c r="AJ4" i="8"/>
  <c r="T4" i="8"/>
  <c r="AJ3" i="8"/>
  <c r="T3" i="8"/>
  <c r="U3" i="8" s="1"/>
  <c r="I3" i="8"/>
  <c r="I4" i="8" s="1"/>
  <c r="AJ19" i="8" l="1"/>
  <c r="T95" i="8"/>
  <c r="U80" i="8"/>
  <c r="U81" i="8" s="1"/>
  <c r="J3" i="8"/>
  <c r="K3" i="8" s="1"/>
  <c r="L3" i="8" s="1"/>
  <c r="Q3" i="8" s="1"/>
  <c r="V79" i="8"/>
  <c r="W79" i="8" s="1"/>
  <c r="I80" i="8"/>
  <c r="I81" i="8" s="1"/>
  <c r="J81" i="8" s="1"/>
  <c r="K81" i="8" s="1"/>
  <c r="L81" i="8" s="1"/>
  <c r="U4" i="8"/>
  <c r="V3" i="8"/>
  <c r="I5" i="8"/>
  <c r="J4" i="8"/>
  <c r="K4" i="8" s="1"/>
  <c r="L4" i="8" s="1"/>
  <c r="W3" i="8" l="1"/>
  <c r="X3" i="8" s="1"/>
  <c r="V80" i="8"/>
  <c r="W80" i="8" s="1"/>
  <c r="I82" i="8"/>
  <c r="I83" i="8" s="1"/>
  <c r="J80" i="8"/>
  <c r="K80" i="8" s="1"/>
  <c r="L80" i="8" s="1"/>
  <c r="Q4" i="8" s="1"/>
  <c r="U82" i="8"/>
  <c r="V81" i="8"/>
  <c r="W81" i="8" s="1"/>
  <c r="I6" i="8"/>
  <c r="J5" i="8"/>
  <c r="K5" i="8" s="1"/>
  <c r="L5" i="8" s="1"/>
  <c r="Q5" i="8" s="1"/>
  <c r="V4" i="8"/>
  <c r="W4" i="8" s="1"/>
  <c r="U5" i="8"/>
  <c r="X4" i="8" l="1"/>
  <c r="AD3" i="8"/>
  <c r="AE3" i="8" s="1"/>
  <c r="AD4" i="8"/>
  <c r="AE4" i="8" s="1"/>
  <c r="AA4" i="8"/>
  <c r="AC4" i="8" s="1"/>
  <c r="J82" i="8"/>
  <c r="K82" i="8" s="1"/>
  <c r="L82" i="8" s="1"/>
  <c r="U6" i="8"/>
  <c r="V5" i="8"/>
  <c r="W5" i="8" s="1"/>
  <c r="X5" i="8" s="1"/>
  <c r="J83" i="8"/>
  <c r="K83" i="8" s="1"/>
  <c r="L83" i="8" s="1"/>
  <c r="I84" i="8"/>
  <c r="I7" i="8"/>
  <c r="J6" i="8"/>
  <c r="K6" i="8" s="1"/>
  <c r="L6" i="8" s="1"/>
  <c r="Q6" i="8" s="1"/>
  <c r="U83" i="8"/>
  <c r="V82" i="8"/>
  <c r="W82" i="8" s="1"/>
  <c r="AD5" i="8" l="1"/>
  <c r="AE5" i="8" s="1"/>
  <c r="AA5" i="8"/>
  <c r="AC5" i="8" s="1"/>
  <c r="I85" i="8"/>
  <c r="J84" i="8"/>
  <c r="K84" i="8" s="1"/>
  <c r="L84" i="8" s="1"/>
  <c r="U84" i="8"/>
  <c r="V83" i="8"/>
  <c r="W83" i="8" s="1"/>
  <c r="I8" i="8"/>
  <c r="I9" i="8" s="1"/>
  <c r="J7" i="8"/>
  <c r="K7" i="8" s="1"/>
  <c r="L7" i="8" s="1"/>
  <c r="Q7" i="8" s="1"/>
  <c r="V6" i="8"/>
  <c r="W6" i="8" s="1"/>
  <c r="X6" i="8" s="1"/>
  <c r="U7" i="8"/>
  <c r="AD6" i="8" l="1"/>
  <c r="AE6" i="8" s="1"/>
  <c r="AA6" i="8"/>
  <c r="AC6" i="8" s="1"/>
  <c r="U85" i="8"/>
  <c r="V84" i="8"/>
  <c r="W84" i="8" s="1"/>
  <c r="U8" i="8"/>
  <c r="V7" i="8"/>
  <c r="W7" i="8" s="1"/>
  <c r="X7" i="8" s="1"/>
  <c r="I10" i="8"/>
  <c r="J8" i="8"/>
  <c r="K8" i="8" s="1"/>
  <c r="L8" i="8" s="1"/>
  <c r="Q8" i="8" s="1"/>
  <c r="J85" i="8"/>
  <c r="K85" i="8" s="1"/>
  <c r="L85" i="8" s="1"/>
  <c r="I86" i="8"/>
  <c r="AD7" i="8" l="1"/>
  <c r="AE7" i="8" s="1"/>
  <c r="AA7" i="8"/>
  <c r="AC7" i="8" s="1"/>
  <c r="I87" i="8"/>
  <c r="J86" i="8"/>
  <c r="K86" i="8" s="1"/>
  <c r="L86" i="8" s="1"/>
  <c r="V8" i="8"/>
  <c r="W8" i="8" s="1"/>
  <c r="X8" i="8" s="1"/>
  <c r="U9" i="8"/>
  <c r="J9" i="8"/>
  <c r="K9" i="8" s="1"/>
  <c r="L9" i="8" s="1"/>
  <c r="Q9" i="8" s="1"/>
  <c r="U86" i="8"/>
  <c r="V85" i="8"/>
  <c r="W85" i="8" s="1"/>
  <c r="AD8" i="8" l="1"/>
  <c r="AE8" i="8" s="1"/>
  <c r="AA8" i="8"/>
  <c r="AC8" i="8" s="1"/>
  <c r="U10" i="8"/>
  <c r="V9" i="8"/>
  <c r="W9" i="8" s="1"/>
  <c r="X9" i="8" s="1"/>
  <c r="U87" i="8"/>
  <c r="V86" i="8"/>
  <c r="W86" i="8" s="1"/>
  <c r="I11" i="8"/>
  <c r="J10" i="8"/>
  <c r="K10" i="8" s="1"/>
  <c r="J87" i="8"/>
  <c r="K87" i="8" s="1"/>
  <c r="L87" i="8" s="1"/>
  <c r="I88" i="8"/>
  <c r="L10" i="8" l="1"/>
  <c r="Q10" i="8" s="1"/>
  <c r="AD9" i="8"/>
  <c r="AE9" i="8" s="1"/>
  <c r="AA9" i="8"/>
  <c r="AC9" i="8" s="1"/>
  <c r="I12" i="8"/>
  <c r="I13" i="8" s="1"/>
  <c r="J11" i="8"/>
  <c r="K11" i="8" s="1"/>
  <c r="L11" i="8" s="1"/>
  <c r="Q11" i="8" s="1"/>
  <c r="V10" i="8"/>
  <c r="W10" i="8" s="1"/>
  <c r="X10" i="8" s="1"/>
  <c r="U11" i="8"/>
  <c r="I89" i="8"/>
  <c r="J88" i="8"/>
  <c r="K88" i="8" s="1"/>
  <c r="L88" i="8" s="1"/>
  <c r="U88" i="8"/>
  <c r="V87" i="8"/>
  <c r="W87" i="8" s="1"/>
  <c r="AD10" i="8" l="1"/>
  <c r="AE10" i="8" s="1"/>
  <c r="AA10" i="8"/>
  <c r="AC10" i="8" s="1"/>
  <c r="U12" i="8"/>
  <c r="V11" i="8"/>
  <c r="W11" i="8" s="1"/>
  <c r="U89" i="8"/>
  <c r="V88" i="8"/>
  <c r="W88" i="8" s="1"/>
  <c r="I90" i="8"/>
  <c r="J89" i="8"/>
  <c r="K89" i="8" s="1"/>
  <c r="L89" i="8" s="1"/>
  <c r="J12" i="8"/>
  <c r="K12" i="8" s="1"/>
  <c r="L12" i="8" s="1"/>
  <c r="Q12" i="8" s="1"/>
  <c r="AA11" i="8" l="1"/>
  <c r="AC11" i="8" s="1"/>
  <c r="X11" i="8"/>
  <c r="AD11" i="8"/>
  <c r="AE11" i="8" s="1"/>
  <c r="J13" i="8"/>
  <c r="K13" i="8" s="1"/>
  <c r="L13" i="8" s="1"/>
  <c r="Q13" i="8" s="1"/>
  <c r="I14" i="8"/>
  <c r="I15" i="8" s="1"/>
  <c r="I16" i="8" s="1"/>
  <c r="V89" i="8"/>
  <c r="W89" i="8" s="1"/>
  <c r="U90" i="8"/>
  <c r="I91" i="8"/>
  <c r="J90" i="8"/>
  <c r="K90" i="8" s="1"/>
  <c r="L90" i="8" s="1"/>
  <c r="V12" i="8"/>
  <c r="W12" i="8" s="1"/>
  <c r="X12" i="8" s="1"/>
  <c r="U13" i="8"/>
  <c r="AA12" i="8" l="1"/>
  <c r="AD12" i="8"/>
  <c r="AE12" i="8" s="1"/>
  <c r="U14" i="8"/>
  <c r="V13" i="8"/>
  <c r="U91" i="8"/>
  <c r="V90" i="8"/>
  <c r="W90" i="8" s="1"/>
  <c r="J14" i="8"/>
  <c r="K14" i="8" s="1"/>
  <c r="L14" i="8" s="1"/>
  <c r="Q14" i="8" s="1"/>
  <c r="I92" i="8"/>
  <c r="J91" i="8"/>
  <c r="K91" i="8" s="1"/>
  <c r="L91" i="8" s="1"/>
  <c r="AC12" i="8" l="1"/>
  <c r="W13" i="8"/>
  <c r="X13" i="8" s="1"/>
  <c r="I93" i="8"/>
  <c r="J92" i="8"/>
  <c r="K92" i="8" s="1"/>
  <c r="L92" i="8" s="1"/>
  <c r="V91" i="8"/>
  <c r="W91" i="8" s="1"/>
  <c r="U92" i="8"/>
  <c r="J15" i="8"/>
  <c r="K15" i="8" s="1"/>
  <c r="L15" i="8" s="1"/>
  <c r="Q15" i="8" s="1"/>
  <c r="V14" i="8"/>
  <c r="W14" i="8" s="1"/>
  <c r="X14" i="8" s="1"/>
  <c r="U15" i="8"/>
  <c r="AA13" i="8" l="1"/>
  <c r="AD13" i="8"/>
  <c r="AE13" i="8" s="1"/>
  <c r="AD14" i="8"/>
  <c r="AE14" i="8" s="1"/>
  <c r="AA14" i="8"/>
  <c r="AC14" i="8" s="1"/>
  <c r="U16" i="8"/>
  <c r="V15" i="8"/>
  <c r="W15" i="8" s="1"/>
  <c r="X15" i="8" s="1"/>
  <c r="U93" i="8"/>
  <c r="V92" i="8"/>
  <c r="W92" i="8" s="1"/>
  <c r="I17" i="8"/>
  <c r="J16" i="8"/>
  <c r="K16" i="8" s="1"/>
  <c r="L16" i="8" s="1"/>
  <c r="Q16" i="8" s="1"/>
  <c r="I94" i="8"/>
  <c r="J93" i="8"/>
  <c r="K93" i="8" s="1"/>
  <c r="L93" i="8" s="1"/>
  <c r="AC13" i="8" l="1"/>
  <c r="AA15" i="8"/>
  <c r="AC15" i="8" s="1"/>
  <c r="AD15" i="8"/>
  <c r="AE15" i="8" s="1"/>
  <c r="I95" i="8"/>
  <c r="J94" i="8"/>
  <c r="K94" i="8" s="1"/>
  <c r="L94" i="8" s="1"/>
  <c r="V93" i="8"/>
  <c r="W93" i="8" s="1"/>
  <c r="U94" i="8"/>
  <c r="J17" i="8"/>
  <c r="K17" i="8" s="1"/>
  <c r="L17" i="8" s="1"/>
  <c r="Q17" i="8" s="1"/>
  <c r="I18" i="8"/>
  <c r="I19" i="8" s="1"/>
  <c r="V16" i="8"/>
  <c r="W16" i="8" s="1"/>
  <c r="X16" i="8" s="1"/>
  <c r="U17" i="8"/>
  <c r="AD16" i="8" l="1"/>
  <c r="AE16" i="8" s="1"/>
  <c r="AA16" i="8"/>
  <c r="U18" i="8"/>
  <c r="V17" i="8"/>
  <c r="U95" i="8"/>
  <c r="V94" i="8"/>
  <c r="W94" i="8" s="1"/>
  <c r="J19" i="8"/>
  <c r="K19" i="8" s="1"/>
  <c r="L19" i="8" s="1"/>
  <c r="J18" i="8"/>
  <c r="K18" i="8" s="1"/>
  <c r="L18" i="8" s="1"/>
  <c r="Q18" i="8" s="1"/>
  <c r="J95" i="8"/>
  <c r="K95" i="8" s="1"/>
  <c r="L95" i="8" s="1"/>
  <c r="I96" i="8"/>
  <c r="AC16" i="8" l="1"/>
  <c r="Q19" i="8"/>
  <c r="W17" i="8"/>
  <c r="AA17" i="8" s="1"/>
  <c r="AC17" i="8" s="1"/>
  <c r="I97" i="8"/>
  <c r="J96" i="8"/>
  <c r="K96" i="8" s="1"/>
  <c r="L96" i="8" s="1"/>
  <c r="U96" i="8"/>
  <c r="V95" i="8"/>
  <c r="W95" i="8" s="1"/>
  <c r="I20" i="8"/>
  <c r="I21" i="8" s="1"/>
  <c r="V18" i="8"/>
  <c r="W18" i="8" s="1"/>
  <c r="U19" i="8"/>
  <c r="AD17" i="8" l="1"/>
  <c r="AE17" i="8" s="1"/>
  <c r="X18" i="8"/>
  <c r="AA18" i="8"/>
  <c r="AC18" i="8" s="1"/>
  <c r="X17" i="8"/>
  <c r="AD18" i="8"/>
  <c r="AE18" i="8" s="1"/>
  <c r="U20" i="8"/>
  <c r="V19" i="8"/>
  <c r="W19" i="8" s="1"/>
  <c r="U97" i="8"/>
  <c r="V96" i="8"/>
  <c r="W96" i="8" s="1"/>
  <c r="J20" i="8"/>
  <c r="K20" i="8" s="1"/>
  <c r="L20" i="8" s="1"/>
  <c r="Q20" i="8" s="1"/>
  <c r="J97" i="8"/>
  <c r="K97" i="8" s="1"/>
  <c r="L97" i="8" s="1"/>
  <c r="I98" i="8"/>
  <c r="AD19" i="8" l="1"/>
  <c r="AE19" i="8" s="1"/>
  <c r="X19" i="8"/>
  <c r="AA19" i="8"/>
  <c r="U98" i="8"/>
  <c r="V97" i="8"/>
  <c r="W97" i="8" s="1"/>
  <c r="I22" i="8"/>
  <c r="J21" i="8"/>
  <c r="K21" i="8" s="1"/>
  <c r="L21" i="8" s="1"/>
  <c r="Q21" i="8" s="1"/>
  <c r="I99" i="8"/>
  <c r="J98" i="8"/>
  <c r="K98" i="8" s="1"/>
  <c r="L98" i="8" s="1"/>
  <c r="V20" i="8"/>
  <c r="W20" i="8" s="1"/>
  <c r="X20" i="8" s="1"/>
  <c r="U21" i="8"/>
  <c r="AC19" i="8" l="1"/>
  <c r="AD20" i="8"/>
  <c r="AE20" i="8" s="1"/>
  <c r="AA20" i="8"/>
  <c r="AC20" i="8" s="1"/>
  <c r="U22" i="8"/>
  <c r="V21" i="8"/>
  <c r="W21" i="8" s="1"/>
  <c r="X21" i="8" s="1"/>
  <c r="J22" i="8"/>
  <c r="K22" i="8" s="1"/>
  <c r="L22" i="8" s="1"/>
  <c r="Q22" i="8" s="1"/>
  <c r="I23" i="8"/>
  <c r="J99" i="8"/>
  <c r="K99" i="8" s="1"/>
  <c r="L99" i="8" s="1"/>
  <c r="I100" i="8"/>
  <c r="U99" i="8"/>
  <c r="V98" i="8"/>
  <c r="W98" i="8" s="1"/>
  <c r="AD21" i="8" l="1"/>
  <c r="AE21" i="8" s="1"/>
  <c r="AA21" i="8"/>
  <c r="AC21" i="8" s="1"/>
  <c r="U100" i="8"/>
  <c r="V99" i="8"/>
  <c r="W99" i="8" s="1"/>
  <c r="I101" i="8"/>
  <c r="J100" i="8"/>
  <c r="K100" i="8" s="1"/>
  <c r="L100" i="8" s="1"/>
  <c r="I24" i="8"/>
  <c r="J23" i="8"/>
  <c r="K23" i="8" s="1"/>
  <c r="L23" i="8" s="1"/>
  <c r="Q23" i="8" s="1"/>
  <c r="U23" i="8"/>
  <c r="V22" i="8"/>
  <c r="W22" i="8" s="1"/>
  <c r="X22" i="8" s="1"/>
  <c r="AD22" i="8" l="1"/>
  <c r="AE22" i="8" s="1"/>
  <c r="AA22" i="8"/>
  <c r="AC22" i="8" s="1"/>
  <c r="U24" i="8"/>
  <c r="V23" i="8"/>
  <c r="W23" i="8" s="1"/>
  <c r="X23" i="8" s="1"/>
  <c r="J101" i="8"/>
  <c r="K101" i="8" s="1"/>
  <c r="L101" i="8" s="1"/>
  <c r="I102" i="8"/>
  <c r="J24" i="8"/>
  <c r="K24" i="8" s="1"/>
  <c r="L24" i="8" s="1"/>
  <c r="Q24" i="8" s="1"/>
  <c r="I25" i="8"/>
  <c r="U101" i="8"/>
  <c r="V100" i="8"/>
  <c r="W100" i="8" s="1"/>
  <c r="AD23" i="8" l="1"/>
  <c r="AE23" i="8" s="1"/>
  <c r="AA23" i="8"/>
  <c r="AC23" i="8" s="1"/>
  <c r="I103" i="8"/>
  <c r="J102" i="8"/>
  <c r="K102" i="8" s="1"/>
  <c r="L102" i="8" s="1"/>
  <c r="U102" i="8"/>
  <c r="V101" i="8"/>
  <c r="W101" i="8" s="1"/>
  <c r="I26" i="8"/>
  <c r="J25" i="8"/>
  <c r="K25" i="8" s="1"/>
  <c r="L25" i="8" s="1"/>
  <c r="Q25" i="8" s="1"/>
  <c r="U25" i="8"/>
  <c r="V24" i="8"/>
  <c r="W24" i="8" s="1"/>
  <c r="X24" i="8" s="1"/>
  <c r="AD24" i="8" l="1"/>
  <c r="AE24" i="8" s="1"/>
  <c r="AA24" i="8"/>
  <c r="AC24" i="8" s="1"/>
  <c r="U26" i="8"/>
  <c r="V25" i="8"/>
  <c r="W25" i="8" s="1"/>
  <c r="X25" i="8" s="1"/>
  <c r="U103" i="8"/>
  <c r="V102" i="8"/>
  <c r="W102" i="8" s="1"/>
  <c r="J26" i="8"/>
  <c r="K26" i="8" s="1"/>
  <c r="L26" i="8" s="1"/>
  <c r="Q26" i="8" s="1"/>
  <c r="I27" i="8"/>
  <c r="J103" i="8"/>
  <c r="K103" i="8" s="1"/>
  <c r="L103" i="8" s="1"/>
  <c r="I104" i="8"/>
  <c r="AD25" i="8" l="1"/>
  <c r="AE25" i="8" s="1"/>
  <c r="AA25" i="8"/>
  <c r="AC25" i="8" s="1"/>
  <c r="U104" i="8"/>
  <c r="V103" i="8"/>
  <c r="W103" i="8" s="1"/>
  <c r="I105" i="8"/>
  <c r="J104" i="8"/>
  <c r="K104" i="8" s="1"/>
  <c r="L104" i="8" s="1"/>
  <c r="I28" i="8"/>
  <c r="J27" i="8"/>
  <c r="K27" i="8" s="1"/>
  <c r="L27" i="8" s="1"/>
  <c r="Q27" i="8" s="1"/>
  <c r="U27" i="8"/>
  <c r="V26" i="8"/>
  <c r="W26" i="8" s="1"/>
  <c r="X26" i="8" s="1"/>
  <c r="AD26" i="8" l="1"/>
  <c r="AE26" i="8" s="1"/>
  <c r="AA26" i="8"/>
  <c r="AC26" i="8" s="1"/>
  <c r="U28" i="8"/>
  <c r="V27" i="8"/>
  <c r="W27" i="8" s="1"/>
  <c r="X27" i="8" s="1"/>
  <c r="J105" i="8"/>
  <c r="K105" i="8" s="1"/>
  <c r="L105" i="8" s="1"/>
  <c r="I106" i="8"/>
  <c r="J28" i="8"/>
  <c r="K28" i="8" s="1"/>
  <c r="L28" i="8" s="1"/>
  <c r="Q28" i="8" s="1"/>
  <c r="I29" i="8"/>
  <c r="U105" i="8"/>
  <c r="V104" i="8"/>
  <c r="W104" i="8" s="1"/>
  <c r="AD27" i="8" l="1"/>
  <c r="AE27" i="8" s="1"/>
  <c r="AA27" i="8"/>
  <c r="AC27" i="8" s="1"/>
  <c r="I107" i="8"/>
  <c r="J106" i="8"/>
  <c r="K106" i="8" s="1"/>
  <c r="L106" i="8" s="1"/>
  <c r="U106" i="8"/>
  <c r="V105" i="8"/>
  <c r="W105" i="8" s="1"/>
  <c r="I30" i="8"/>
  <c r="J29" i="8"/>
  <c r="K29" i="8" s="1"/>
  <c r="L29" i="8" s="1"/>
  <c r="Q29" i="8" s="1"/>
  <c r="U29" i="8"/>
  <c r="V28" i="8"/>
  <c r="W28" i="8" s="1"/>
  <c r="X28" i="8" s="1"/>
  <c r="AD28" i="8" l="1"/>
  <c r="AE28" i="8" s="1"/>
  <c r="AA28" i="8"/>
  <c r="AC28" i="8" s="1"/>
  <c r="J30" i="8"/>
  <c r="K30" i="8" s="1"/>
  <c r="L30" i="8" s="1"/>
  <c r="Q30" i="8" s="1"/>
  <c r="I31" i="8"/>
  <c r="I32" i="8" s="1"/>
  <c r="I33" i="8" s="1"/>
  <c r="I34" i="8" s="1"/>
  <c r="J107" i="8"/>
  <c r="K107" i="8" s="1"/>
  <c r="L107" i="8" s="1"/>
  <c r="I108" i="8"/>
  <c r="U30" i="8"/>
  <c r="V29" i="8"/>
  <c r="W29" i="8" s="1"/>
  <c r="X29" i="8" s="1"/>
  <c r="U107" i="8"/>
  <c r="V106" i="8"/>
  <c r="W106" i="8" s="1"/>
  <c r="AD29" i="8" l="1"/>
  <c r="AE29" i="8" s="1"/>
  <c r="AA29" i="8"/>
  <c r="AC29" i="8" s="1"/>
  <c r="I35" i="8"/>
  <c r="J34" i="8"/>
  <c r="K34" i="8" s="1"/>
  <c r="L34" i="8" s="1"/>
  <c r="I109" i="8"/>
  <c r="I110" i="8" s="1"/>
  <c r="J108" i="8"/>
  <c r="K108" i="8" s="1"/>
  <c r="L108" i="8" s="1"/>
  <c r="U108" i="8"/>
  <c r="V107" i="8"/>
  <c r="W107" i="8" s="1"/>
  <c r="J31" i="8"/>
  <c r="K31" i="8" s="1"/>
  <c r="L31" i="8" s="1"/>
  <c r="Q31" i="8" s="1"/>
  <c r="U31" i="8"/>
  <c r="V30" i="8"/>
  <c r="W30" i="8" s="1"/>
  <c r="X30" i="8" s="1"/>
  <c r="AD30" i="8" l="1"/>
  <c r="AE30" i="8" s="1"/>
  <c r="AA30" i="8"/>
  <c r="AC30" i="8" s="1"/>
  <c r="J110" i="8"/>
  <c r="K110" i="8" s="1"/>
  <c r="L110" i="8" s="1"/>
  <c r="Q34" i="8" s="1"/>
  <c r="I111" i="8"/>
  <c r="I36" i="8"/>
  <c r="J35" i="8"/>
  <c r="K35" i="8" s="1"/>
  <c r="L35" i="8" s="1"/>
  <c r="U109" i="8"/>
  <c r="V108" i="8"/>
  <c r="W108" i="8" s="1"/>
  <c r="U32" i="8"/>
  <c r="V31" i="8"/>
  <c r="W31" i="8" s="1"/>
  <c r="J32" i="8"/>
  <c r="K32" i="8" s="1"/>
  <c r="L32" i="8" s="1"/>
  <c r="Q32" i="8" s="1"/>
  <c r="J109" i="8"/>
  <c r="K109" i="8" s="1"/>
  <c r="L109" i="8" s="1"/>
  <c r="AA31" i="8" l="1"/>
  <c r="AC31" i="8" s="1"/>
  <c r="X31" i="8"/>
  <c r="AD31" i="8"/>
  <c r="AE31" i="8" s="1"/>
  <c r="V109" i="8"/>
  <c r="W109" i="8" s="1"/>
  <c r="U110" i="8"/>
  <c r="J36" i="8"/>
  <c r="K36" i="8" s="1"/>
  <c r="L36" i="8" s="1"/>
  <c r="I37" i="8"/>
  <c r="J111" i="8"/>
  <c r="K111" i="8" s="1"/>
  <c r="L111" i="8" s="1"/>
  <c r="Q35" i="8" s="1"/>
  <c r="I112" i="8"/>
  <c r="U33" i="8"/>
  <c r="V32" i="8"/>
  <c r="W32" i="8" s="1"/>
  <c r="X32" i="8" s="1"/>
  <c r="J33" i="8"/>
  <c r="K33" i="8" s="1"/>
  <c r="L33" i="8" s="1"/>
  <c r="Q33" i="8" s="1"/>
  <c r="AD32" i="8" l="1"/>
  <c r="AE32" i="8" s="1"/>
  <c r="AA32" i="8"/>
  <c r="AC32" i="8" s="1"/>
  <c r="J112" i="8"/>
  <c r="K112" i="8" s="1"/>
  <c r="L112" i="8" s="1"/>
  <c r="Q36" i="8" s="1"/>
  <c r="I113" i="8"/>
  <c r="V110" i="8"/>
  <c r="W110" i="8" s="1"/>
  <c r="U111" i="8"/>
  <c r="V33" i="8"/>
  <c r="W33" i="8" s="1"/>
  <c r="X33" i="8" s="1"/>
  <c r="U34" i="8"/>
  <c r="I38" i="8"/>
  <c r="J37" i="8"/>
  <c r="K37" i="8" s="1"/>
  <c r="L37" i="8" s="1"/>
  <c r="U67" i="5"/>
  <c r="V67" i="5" s="1"/>
  <c r="I74" i="6"/>
  <c r="K74" i="6" s="1"/>
  <c r="L74" i="6" s="1"/>
  <c r="I73" i="6"/>
  <c r="I72" i="6"/>
  <c r="K72" i="6" s="1"/>
  <c r="L72" i="6" s="1"/>
  <c r="AD33" i="8" l="1"/>
  <c r="AE33" i="8" s="1"/>
  <c r="AA33" i="8"/>
  <c r="AC33" i="8" s="1"/>
  <c r="U112" i="8"/>
  <c r="V111" i="8"/>
  <c r="W111" i="8" s="1"/>
  <c r="J113" i="8"/>
  <c r="K113" i="8" s="1"/>
  <c r="L113" i="8" s="1"/>
  <c r="Q37" i="8" s="1"/>
  <c r="I114" i="8"/>
  <c r="U35" i="8"/>
  <c r="V34" i="8"/>
  <c r="W34" i="8" s="1"/>
  <c r="X34" i="8" s="1"/>
  <c r="K73" i="6"/>
  <c r="L73" i="6" s="1"/>
  <c r="U74" i="6"/>
  <c r="I39" i="8"/>
  <c r="J38" i="8"/>
  <c r="K38" i="8" s="1"/>
  <c r="L38" i="8" s="1"/>
  <c r="H74" i="6"/>
  <c r="H73" i="6"/>
  <c r="H72" i="6"/>
  <c r="J72" i="6" s="1"/>
  <c r="I71" i="6"/>
  <c r="K71" i="6" s="1"/>
  <c r="L71" i="6" s="1"/>
  <c r="I70" i="6"/>
  <c r="I69" i="6"/>
  <c r="K69" i="6" s="1"/>
  <c r="L69" i="6" s="1"/>
  <c r="I68" i="6"/>
  <c r="I67" i="6"/>
  <c r="I66" i="6"/>
  <c r="I65" i="6"/>
  <c r="I64" i="6"/>
  <c r="K64" i="6" s="1"/>
  <c r="L64" i="6" s="1"/>
  <c r="I63" i="6"/>
  <c r="K63" i="6" s="1"/>
  <c r="L63" i="6" s="1"/>
  <c r="I74" i="5"/>
  <c r="K74" i="5" s="1"/>
  <c r="I73" i="5"/>
  <c r="K73" i="5" s="1"/>
  <c r="L73" i="5" s="1"/>
  <c r="I72" i="5"/>
  <c r="K72" i="5" s="1"/>
  <c r="L72" i="5" s="1"/>
  <c r="H74" i="5"/>
  <c r="H73" i="5"/>
  <c r="H72" i="5"/>
  <c r="U72" i="5" s="1"/>
  <c r="I71" i="5"/>
  <c r="I70" i="5"/>
  <c r="K70" i="5" s="1"/>
  <c r="L70" i="5" s="1"/>
  <c r="I69" i="5"/>
  <c r="I68" i="5"/>
  <c r="J67" i="5"/>
  <c r="T67" i="5"/>
  <c r="I66" i="5"/>
  <c r="K66" i="5" s="1"/>
  <c r="L66" i="5" s="1"/>
  <c r="I65" i="5"/>
  <c r="K65" i="5" s="1"/>
  <c r="I64" i="5"/>
  <c r="I63" i="5"/>
  <c r="L74" i="5" l="1"/>
  <c r="AE72" i="5" s="1"/>
  <c r="L65" i="5"/>
  <c r="AE65" i="5" s="1"/>
  <c r="AD34" i="8"/>
  <c r="AE34" i="8" s="1"/>
  <c r="AA34" i="8"/>
  <c r="AC34" i="8" s="1"/>
  <c r="I115" i="8"/>
  <c r="J114" i="8"/>
  <c r="K114" i="8" s="1"/>
  <c r="L114" i="8" s="1"/>
  <c r="Q38" i="8" s="1"/>
  <c r="U113" i="8"/>
  <c r="V112" i="8"/>
  <c r="W112" i="8" s="1"/>
  <c r="U36" i="8"/>
  <c r="V35" i="8"/>
  <c r="W35" i="8" s="1"/>
  <c r="X35" i="8" s="1"/>
  <c r="K63" i="5"/>
  <c r="L63" i="5" s="1"/>
  <c r="K69" i="5"/>
  <c r="L69" i="5" s="1"/>
  <c r="J74" i="5"/>
  <c r="U74" i="5"/>
  <c r="K65" i="6"/>
  <c r="L65" i="6" s="1"/>
  <c r="N63" i="6" s="1"/>
  <c r="K67" i="6"/>
  <c r="L67" i="6" s="1"/>
  <c r="O73" i="6"/>
  <c r="P73" i="6"/>
  <c r="U73" i="6"/>
  <c r="K64" i="5"/>
  <c r="L64" i="5" s="1"/>
  <c r="K71" i="5"/>
  <c r="T72" i="5"/>
  <c r="P74" i="6"/>
  <c r="O74" i="6"/>
  <c r="Q74" i="6" s="1"/>
  <c r="V72" i="5"/>
  <c r="U63" i="6"/>
  <c r="U72" i="6"/>
  <c r="K68" i="5"/>
  <c r="Q72" i="5"/>
  <c r="S72" i="5" s="1"/>
  <c r="K66" i="6"/>
  <c r="L66" i="6" s="1"/>
  <c r="K68" i="6"/>
  <c r="L68" i="6" s="1"/>
  <c r="N72" i="6"/>
  <c r="J73" i="6"/>
  <c r="T73" i="5"/>
  <c r="U73" i="5"/>
  <c r="K70" i="6"/>
  <c r="L70" i="6" s="1"/>
  <c r="N69" i="6" s="1"/>
  <c r="P72" i="6"/>
  <c r="O72" i="6"/>
  <c r="J74" i="6"/>
  <c r="I40" i="8"/>
  <c r="J39" i="8"/>
  <c r="K39" i="8" s="1"/>
  <c r="L39" i="8" s="1"/>
  <c r="J73" i="5"/>
  <c r="J72" i="5"/>
  <c r="T74" i="5"/>
  <c r="P57" i="6"/>
  <c r="P58" i="6"/>
  <c r="I59" i="6"/>
  <c r="K59" i="6" s="1"/>
  <c r="L59" i="6" s="1"/>
  <c r="H71" i="6"/>
  <c r="H70" i="6"/>
  <c r="J70" i="6" s="1"/>
  <c r="H69" i="6"/>
  <c r="H68" i="6"/>
  <c r="H67" i="6"/>
  <c r="J67" i="6" s="1"/>
  <c r="H66" i="6"/>
  <c r="H65" i="6"/>
  <c r="H64" i="6"/>
  <c r="H63" i="6"/>
  <c r="I62" i="6"/>
  <c r="K62" i="6" s="1"/>
  <c r="L62" i="6" s="1"/>
  <c r="I61" i="6"/>
  <c r="K61" i="6" s="1"/>
  <c r="L61" i="6" s="1"/>
  <c r="I60" i="6"/>
  <c r="H62" i="6"/>
  <c r="P62" i="6" s="1"/>
  <c r="H61" i="6"/>
  <c r="O61" i="6" s="1"/>
  <c r="H60" i="6"/>
  <c r="P60" i="6" s="1"/>
  <c r="J58" i="6"/>
  <c r="O58" i="6"/>
  <c r="I57" i="6"/>
  <c r="O57" i="6"/>
  <c r="H59" i="6"/>
  <c r="P59" i="6" s="1"/>
  <c r="I56" i="6"/>
  <c r="I55" i="6"/>
  <c r="K55" i="6" s="1"/>
  <c r="L55" i="6" s="1"/>
  <c r="I54" i="6"/>
  <c r="H56" i="6"/>
  <c r="P56" i="6" s="1"/>
  <c r="H55" i="6"/>
  <c r="P55" i="6" s="1"/>
  <c r="H54" i="6"/>
  <c r="P54" i="6" s="1"/>
  <c r="I53" i="6"/>
  <c r="K53" i="6" s="1"/>
  <c r="L53" i="6" s="1"/>
  <c r="I52" i="6"/>
  <c r="K52" i="6" s="1"/>
  <c r="L52" i="6" s="1"/>
  <c r="I51" i="6"/>
  <c r="H53" i="6"/>
  <c r="P53" i="6" s="1"/>
  <c r="H52" i="6"/>
  <c r="O52" i="6" s="1"/>
  <c r="H51" i="6"/>
  <c r="P51" i="6" s="1"/>
  <c r="I50" i="6"/>
  <c r="I49" i="6"/>
  <c r="K49" i="6" s="1"/>
  <c r="L49" i="6" s="1"/>
  <c r="I48" i="6"/>
  <c r="K48" i="6" s="1"/>
  <c r="L48" i="6" s="1"/>
  <c r="H50" i="6"/>
  <c r="P50" i="6" s="1"/>
  <c r="H49" i="6"/>
  <c r="P49" i="6" s="1"/>
  <c r="H48" i="6"/>
  <c r="J48" i="6" s="1"/>
  <c r="I47" i="6"/>
  <c r="I46" i="6"/>
  <c r="K46" i="6" s="1"/>
  <c r="L46" i="6" s="1"/>
  <c r="I45" i="6"/>
  <c r="K45" i="6" s="1"/>
  <c r="L45" i="6" s="1"/>
  <c r="H47" i="6"/>
  <c r="O47" i="6" s="1"/>
  <c r="H46" i="6"/>
  <c r="O46" i="6" s="1"/>
  <c r="H45" i="6"/>
  <c r="P45" i="6" s="1"/>
  <c r="I44" i="6"/>
  <c r="I43" i="6"/>
  <c r="I42" i="6"/>
  <c r="K42" i="6" s="1"/>
  <c r="L42" i="6" s="1"/>
  <c r="H44" i="6"/>
  <c r="P44" i="6" s="1"/>
  <c r="H43" i="6"/>
  <c r="O43" i="6" s="1"/>
  <c r="H42" i="6"/>
  <c r="P42" i="6" s="1"/>
  <c r="H71" i="5"/>
  <c r="J71" i="5" s="1"/>
  <c r="H70" i="5"/>
  <c r="H69" i="5"/>
  <c r="H68" i="5"/>
  <c r="J68" i="5" s="1"/>
  <c r="H66" i="5"/>
  <c r="J66" i="5" s="1"/>
  <c r="H65" i="5"/>
  <c r="H64" i="5"/>
  <c r="H63" i="5"/>
  <c r="I62" i="5"/>
  <c r="K62" i="5" s="1"/>
  <c r="H62" i="5"/>
  <c r="U62" i="5" s="1"/>
  <c r="V62" i="5" s="1"/>
  <c r="I61" i="5"/>
  <c r="K61" i="5" s="1"/>
  <c r="L61" i="5" s="1"/>
  <c r="H61" i="5"/>
  <c r="I60" i="5"/>
  <c r="H60" i="5"/>
  <c r="U60" i="5" s="1"/>
  <c r="I59" i="5"/>
  <c r="H59" i="5"/>
  <c r="U59" i="5" s="1"/>
  <c r="V59" i="5" s="1"/>
  <c r="I58" i="5"/>
  <c r="H58" i="5"/>
  <c r="U58" i="5" s="1"/>
  <c r="V58" i="5" s="1"/>
  <c r="I57" i="5"/>
  <c r="H57" i="5"/>
  <c r="T57" i="5" s="1"/>
  <c r="I56" i="5"/>
  <c r="K56" i="5" s="1"/>
  <c r="H56" i="5"/>
  <c r="U56" i="5" s="1"/>
  <c r="V56" i="5" s="1"/>
  <c r="I55" i="5"/>
  <c r="K55" i="5" s="1"/>
  <c r="L55" i="5" s="1"/>
  <c r="H55" i="5"/>
  <c r="I54" i="5"/>
  <c r="K54" i="5" s="1"/>
  <c r="L54" i="5" s="1"/>
  <c r="H54" i="5"/>
  <c r="I53" i="5"/>
  <c r="K53" i="5" s="1"/>
  <c r="H53" i="5"/>
  <c r="U53" i="5" s="1"/>
  <c r="V53" i="5" s="1"/>
  <c r="I52" i="5"/>
  <c r="K52" i="5" s="1"/>
  <c r="L52" i="5" s="1"/>
  <c r="H52" i="5"/>
  <c r="T52" i="5" s="1"/>
  <c r="I51" i="5"/>
  <c r="K51" i="5" s="1"/>
  <c r="L51" i="5" s="1"/>
  <c r="H51" i="5"/>
  <c r="T51" i="5" s="1"/>
  <c r="I50" i="5"/>
  <c r="I49" i="5"/>
  <c r="K49" i="5" s="1"/>
  <c r="L49" i="5" s="1"/>
  <c r="I48" i="5"/>
  <c r="K48" i="5" s="1"/>
  <c r="L48" i="5" s="1"/>
  <c r="H50" i="5"/>
  <c r="U50" i="5" s="1"/>
  <c r="V50" i="5" s="1"/>
  <c r="H49" i="5"/>
  <c r="U49" i="5" s="1"/>
  <c r="V49" i="5" s="1"/>
  <c r="H48" i="5"/>
  <c r="U48" i="5" s="1"/>
  <c r="I47" i="5"/>
  <c r="K47" i="5" s="1"/>
  <c r="I46" i="5"/>
  <c r="K46" i="5" s="1"/>
  <c r="L46" i="5" s="1"/>
  <c r="I45" i="5"/>
  <c r="K45" i="5" s="1"/>
  <c r="L45" i="5" s="1"/>
  <c r="H47" i="5"/>
  <c r="T47" i="5" s="1"/>
  <c r="H46" i="5"/>
  <c r="U46" i="5" s="1"/>
  <c r="V46" i="5" s="1"/>
  <c r="H45" i="5"/>
  <c r="T45" i="5" s="1"/>
  <c r="I44" i="5"/>
  <c r="K44" i="5" s="1"/>
  <c r="I43" i="5"/>
  <c r="I42" i="5"/>
  <c r="K42" i="5" s="1"/>
  <c r="L42" i="5" s="1"/>
  <c r="H44" i="5"/>
  <c r="T44" i="5" s="1"/>
  <c r="H43" i="5"/>
  <c r="U43" i="5" s="1"/>
  <c r="V43" i="5" s="1"/>
  <c r="H42" i="5"/>
  <c r="U42" i="5" s="1"/>
  <c r="J44" i="6" l="1"/>
  <c r="M72" i="6"/>
  <c r="AE74" i="5"/>
  <c r="AE73" i="5"/>
  <c r="P43" i="6"/>
  <c r="J56" i="6"/>
  <c r="Q72" i="6"/>
  <c r="AC72" i="5"/>
  <c r="AE64" i="5"/>
  <c r="O53" i="6"/>
  <c r="R72" i="6"/>
  <c r="S72" i="6" s="1"/>
  <c r="L71" i="5"/>
  <c r="AE70" i="5" s="1"/>
  <c r="L44" i="5"/>
  <c r="L56" i="5"/>
  <c r="AE54" i="5" s="1"/>
  <c r="L62" i="5"/>
  <c r="AE62" i="5" s="1"/>
  <c r="L68" i="5"/>
  <c r="Q66" i="5" s="1"/>
  <c r="S66" i="5" s="1"/>
  <c r="L47" i="5"/>
  <c r="Q45" i="5" s="1"/>
  <c r="S45" i="5" s="1"/>
  <c r="L53" i="5"/>
  <c r="AE51" i="5" s="1"/>
  <c r="AD35" i="8"/>
  <c r="AE35" i="8" s="1"/>
  <c r="AA35" i="8"/>
  <c r="AC35" i="8" s="1"/>
  <c r="J47" i="6"/>
  <c r="O49" i="6"/>
  <c r="K44" i="6"/>
  <c r="L44" i="6" s="1"/>
  <c r="O45" i="6"/>
  <c r="Q45" i="6" s="1"/>
  <c r="J49" i="6"/>
  <c r="O44" i="6"/>
  <c r="P47" i="6"/>
  <c r="O48" i="6"/>
  <c r="J53" i="6"/>
  <c r="O42" i="6"/>
  <c r="Q42" i="6" s="1"/>
  <c r="AE66" i="5"/>
  <c r="U114" i="8"/>
  <c r="V113" i="8"/>
  <c r="W113" i="8" s="1"/>
  <c r="I116" i="8"/>
  <c r="J115" i="8"/>
  <c r="K115" i="8" s="1"/>
  <c r="L115" i="8" s="1"/>
  <c r="Q39" i="8" s="1"/>
  <c r="J59" i="5"/>
  <c r="J55" i="5"/>
  <c r="T58" i="5"/>
  <c r="J61" i="5"/>
  <c r="U45" i="5"/>
  <c r="V45" i="5" s="1"/>
  <c r="T49" i="5"/>
  <c r="T42" i="5"/>
  <c r="J46" i="5"/>
  <c r="J49" i="5"/>
  <c r="J58" i="5"/>
  <c r="T48" i="5"/>
  <c r="J50" i="5"/>
  <c r="U51" i="5"/>
  <c r="J43" i="5"/>
  <c r="J54" i="5"/>
  <c r="U37" i="8"/>
  <c r="V36" i="8"/>
  <c r="W36" i="8" s="1"/>
  <c r="X36" i="8" s="1"/>
  <c r="V42" i="5"/>
  <c r="M66" i="5"/>
  <c r="AD66" i="5"/>
  <c r="V42" i="6"/>
  <c r="R42" i="6"/>
  <c r="S42" i="6" s="1"/>
  <c r="V54" i="6"/>
  <c r="R54" i="6"/>
  <c r="S54" i="6" s="1"/>
  <c r="V60" i="5"/>
  <c r="U47" i="5"/>
  <c r="V47" i="5" s="1"/>
  <c r="K50" i="5"/>
  <c r="V48" i="5"/>
  <c r="X48" i="5" s="1"/>
  <c r="Z48" i="5" s="1"/>
  <c r="AF48" i="5"/>
  <c r="T53" i="5"/>
  <c r="AA51" i="5" s="1"/>
  <c r="AB51" i="5" s="1"/>
  <c r="T62" i="5"/>
  <c r="T43" i="5"/>
  <c r="K43" i="5"/>
  <c r="L43" i="5" s="1"/>
  <c r="T46" i="5"/>
  <c r="AA45" i="5" s="1"/>
  <c r="AB45" i="5" s="1"/>
  <c r="J47" i="5"/>
  <c r="J51" i="5"/>
  <c r="J52" i="5"/>
  <c r="T59" i="5"/>
  <c r="J60" i="5"/>
  <c r="U52" i="5"/>
  <c r="V52" i="5" s="1"/>
  <c r="U55" i="5"/>
  <c r="V55" i="5" s="1"/>
  <c r="K60" i="5"/>
  <c r="L60" i="5" s="1"/>
  <c r="U64" i="5"/>
  <c r="V64" i="5" s="1"/>
  <c r="T64" i="5"/>
  <c r="U69" i="5"/>
  <c r="T69" i="5"/>
  <c r="AC48" i="5"/>
  <c r="J43" i="6"/>
  <c r="J46" i="6"/>
  <c r="P46" i="6"/>
  <c r="O50" i="6"/>
  <c r="Q48" i="6" s="1"/>
  <c r="J52" i="6"/>
  <c r="O54" i="6"/>
  <c r="O56" i="6"/>
  <c r="J57" i="6"/>
  <c r="K57" i="6"/>
  <c r="J59" i="6"/>
  <c r="O60" i="6"/>
  <c r="O62" i="6"/>
  <c r="P64" i="6"/>
  <c r="O64" i="6"/>
  <c r="P68" i="6"/>
  <c r="O68" i="6"/>
  <c r="V73" i="5"/>
  <c r="AF73" i="5"/>
  <c r="T73" i="6"/>
  <c r="J68" i="6"/>
  <c r="U69" i="6"/>
  <c r="V74" i="6"/>
  <c r="T72" i="6"/>
  <c r="K59" i="5"/>
  <c r="U65" i="5"/>
  <c r="V65" i="5" s="1"/>
  <c r="T65" i="5"/>
  <c r="J65" i="5"/>
  <c r="U70" i="5"/>
  <c r="V70" i="5" s="1"/>
  <c r="J70" i="5"/>
  <c r="T70" i="5"/>
  <c r="J50" i="6"/>
  <c r="T48" i="6" s="1"/>
  <c r="O51" i="6"/>
  <c r="Q51" i="6" s="1"/>
  <c r="J54" i="6"/>
  <c r="J60" i="6"/>
  <c r="J62" i="6"/>
  <c r="P65" i="6"/>
  <c r="O65" i="6"/>
  <c r="P69" i="6"/>
  <c r="O69" i="6"/>
  <c r="J69" i="6"/>
  <c r="K56" i="6"/>
  <c r="L56" i="6" s="1"/>
  <c r="P61" i="6"/>
  <c r="V60" i="6" s="1"/>
  <c r="T74" i="6"/>
  <c r="U66" i="6"/>
  <c r="N66" i="6"/>
  <c r="AE68" i="5"/>
  <c r="J64" i="6"/>
  <c r="J69" i="5"/>
  <c r="AF72" i="5"/>
  <c r="U44" i="5"/>
  <c r="V44" i="5" s="1"/>
  <c r="T55" i="5"/>
  <c r="U54" i="5"/>
  <c r="U57" i="5"/>
  <c r="U61" i="5"/>
  <c r="V61" i="5" s="1"/>
  <c r="U66" i="5"/>
  <c r="T66" i="5"/>
  <c r="U71" i="5"/>
  <c r="T71" i="5"/>
  <c r="J42" i="6"/>
  <c r="J45" i="6"/>
  <c r="T45" i="6" s="1"/>
  <c r="V45" i="6"/>
  <c r="J51" i="6"/>
  <c r="O55" i="6"/>
  <c r="P66" i="6"/>
  <c r="O66" i="6"/>
  <c r="P70" i="6"/>
  <c r="O70" i="6"/>
  <c r="K51" i="6"/>
  <c r="L51" i="6" s="1"/>
  <c r="P52" i="6"/>
  <c r="V51" i="6" s="1"/>
  <c r="P48" i="6"/>
  <c r="M72" i="5"/>
  <c r="AD72" i="5"/>
  <c r="J66" i="6"/>
  <c r="AA72" i="5"/>
  <c r="AB72" i="5" s="1"/>
  <c r="V73" i="6"/>
  <c r="V74" i="5"/>
  <c r="AF74" i="5"/>
  <c r="AE63" i="5"/>
  <c r="Q63" i="5"/>
  <c r="S63" i="5" s="1"/>
  <c r="T54" i="5"/>
  <c r="T56" i="5"/>
  <c r="T61" i="5"/>
  <c r="K58" i="5"/>
  <c r="L58" i="5" s="1"/>
  <c r="J42" i="5"/>
  <c r="J44" i="5"/>
  <c r="J45" i="5"/>
  <c r="J48" i="5"/>
  <c r="T50" i="5"/>
  <c r="J53" i="5"/>
  <c r="J56" i="5"/>
  <c r="J57" i="5"/>
  <c r="T60" i="5"/>
  <c r="J62" i="5"/>
  <c r="K57" i="5"/>
  <c r="L57" i="5" s="1"/>
  <c r="U63" i="5"/>
  <c r="T63" i="5"/>
  <c r="U68" i="5"/>
  <c r="V68" i="5" s="1"/>
  <c r="T68" i="5"/>
  <c r="K43" i="6"/>
  <c r="L43" i="6" s="1"/>
  <c r="J55" i="6"/>
  <c r="O59" i="6"/>
  <c r="Q57" i="6" s="1"/>
  <c r="J61" i="6"/>
  <c r="P63" i="6"/>
  <c r="J63" i="6"/>
  <c r="O63" i="6"/>
  <c r="Q63" i="6" s="1"/>
  <c r="P67" i="6"/>
  <c r="O67" i="6"/>
  <c r="P71" i="6"/>
  <c r="J71" i="6"/>
  <c r="O71" i="6"/>
  <c r="K60" i="6"/>
  <c r="L60" i="6" s="1"/>
  <c r="K54" i="6"/>
  <c r="L54" i="6" s="1"/>
  <c r="K50" i="6"/>
  <c r="L50" i="6" s="1"/>
  <c r="U48" i="6" s="1"/>
  <c r="V72" i="6"/>
  <c r="J64" i="5"/>
  <c r="Q73" i="6"/>
  <c r="J65" i="6"/>
  <c r="J63" i="5"/>
  <c r="J40" i="8"/>
  <c r="K40" i="8" s="1"/>
  <c r="L40" i="8" s="1"/>
  <c r="I41" i="8"/>
  <c r="L57" i="6"/>
  <c r="N57" i="6" s="1"/>
  <c r="V57" i="6"/>
  <c r="T57" i="6"/>
  <c r="R57" i="6"/>
  <c r="S57" i="6" s="1"/>
  <c r="K47" i="6"/>
  <c r="L47" i="6" s="1"/>
  <c r="M45" i="6"/>
  <c r="H3" i="6"/>
  <c r="P3" i="6" s="1"/>
  <c r="I3" i="6"/>
  <c r="K3" i="6" s="1"/>
  <c r="L3" i="6" s="1"/>
  <c r="H4" i="6"/>
  <c r="P4" i="6" s="1"/>
  <c r="I4" i="6"/>
  <c r="H5" i="6"/>
  <c r="P5" i="6" s="1"/>
  <c r="I5" i="6"/>
  <c r="H6" i="6"/>
  <c r="O6" i="6" s="1"/>
  <c r="I6" i="6"/>
  <c r="H7" i="6"/>
  <c r="P7" i="6" s="1"/>
  <c r="I7" i="6"/>
  <c r="K7" i="6"/>
  <c r="L7" i="6" s="1"/>
  <c r="H8" i="6"/>
  <c r="P8" i="6" s="1"/>
  <c r="I8" i="6"/>
  <c r="K8" i="6" s="1"/>
  <c r="L8" i="6" s="1"/>
  <c r="H9" i="6"/>
  <c r="P9" i="6" s="1"/>
  <c r="I9" i="6"/>
  <c r="K9" i="6" s="1"/>
  <c r="L9" i="6" s="1"/>
  <c r="H10" i="6"/>
  <c r="P10" i="6" s="1"/>
  <c r="I10" i="6"/>
  <c r="K10" i="6" s="1"/>
  <c r="L10" i="6" s="1"/>
  <c r="O10" i="6"/>
  <c r="H11" i="6"/>
  <c r="O11" i="6" s="1"/>
  <c r="I11" i="6"/>
  <c r="K11" i="6" s="1"/>
  <c r="L11" i="6" s="1"/>
  <c r="P11" i="6"/>
  <c r="H12" i="6"/>
  <c r="P12" i="6" s="1"/>
  <c r="I12" i="6"/>
  <c r="K12" i="6" s="1"/>
  <c r="L12" i="6" s="1"/>
  <c r="H13" i="6"/>
  <c r="P13" i="6" s="1"/>
  <c r="I13" i="6"/>
  <c r="H14" i="6"/>
  <c r="P14" i="6" s="1"/>
  <c r="I14" i="6"/>
  <c r="H15" i="6"/>
  <c r="P15" i="6" s="1"/>
  <c r="I15" i="6"/>
  <c r="K15" i="6" s="1"/>
  <c r="L15" i="6" s="1"/>
  <c r="H16" i="6"/>
  <c r="I16" i="6"/>
  <c r="K16" i="6" s="1"/>
  <c r="L16" i="6" s="1"/>
  <c r="H17" i="6"/>
  <c r="I17" i="6"/>
  <c r="K17" i="6" s="1"/>
  <c r="L17" i="6" s="1"/>
  <c r="H18" i="6"/>
  <c r="O18" i="6" s="1"/>
  <c r="I18" i="6"/>
  <c r="H19" i="6"/>
  <c r="O19" i="6" s="1"/>
  <c r="I19" i="6"/>
  <c r="H20" i="6"/>
  <c r="O20" i="6" s="1"/>
  <c r="I20" i="6"/>
  <c r="H21" i="6"/>
  <c r="O21" i="6" s="1"/>
  <c r="I21" i="6"/>
  <c r="K21" i="6" s="1"/>
  <c r="L21" i="6" s="1"/>
  <c r="H22" i="6"/>
  <c r="O22" i="6" s="1"/>
  <c r="I22" i="6"/>
  <c r="K22" i="6" s="1"/>
  <c r="L22" i="6" s="1"/>
  <c r="H23" i="6"/>
  <c r="O23" i="6" s="1"/>
  <c r="I23" i="6"/>
  <c r="K23" i="6" s="1"/>
  <c r="L23" i="6" s="1"/>
  <c r="H24" i="6"/>
  <c r="P24" i="6" s="1"/>
  <c r="I24" i="6"/>
  <c r="K24" i="6" s="1"/>
  <c r="L24" i="6" s="1"/>
  <c r="H25" i="6"/>
  <c r="P25" i="6" s="1"/>
  <c r="I25" i="6"/>
  <c r="H26" i="6"/>
  <c r="P26" i="6" s="1"/>
  <c r="I26" i="6"/>
  <c r="H27" i="6"/>
  <c r="P27" i="6" s="1"/>
  <c r="I27" i="6"/>
  <c r="K27" i="6" s="1"/>
  <c r="L27" i="6" s="1"/>
  <c r="H28" i="6"/>
  <c r="I28" i="6"/>
  <c r="K28" i="6" s="1"/>
  <c r="L28" i="6" s="1"/>
  <c r="H29" i="6"/>
  <c r="I29" i="6"/>
  <c r="K29" i="6" s="1"/>
  <c r="L29" i="6" s="1"/>
  <c r="H30" i="6"/>
  <c r="O30" i="6" s="1"/>
  <c r="I30" i="6"/>
  <c r="H31" i="6"/>
  <c r="O31" i="6" s="1"/>
  <c r="I31" i="6"/>
  <c r="H32" i="6"/>
  <c r="O32" i="6" s="1"/>
  <c r="I32" i="6"/>
  <c r="K32" i="6" s="1"/>
  <c r="L32" i="6" s="1"/>
  <c r="H33" i="6"/>
  <c r="P33" i="6" s="1"/>
  <c r="I33" i="6"/>
  <c r="H34" i="6"/>
  <c r="I34" i="6"/>
  <c r="K34" i="6" s="1"/>
  <c r="L34" i="6" s="1"/>
  <c r="O34" i="6"/>
  <c r="P34" i="6"/>
  <c r="H35" i="6"/>
  <c r="I35" i="6"/>
  <c r="K35" i="6" s="1"/>
  <c r="L35" i="6" s="1"/>
  <c r="O35" i="6"/>
  <c r="P35" i="6"/>
  <c r="H36" i="6"/>
  <c r="P36" i="6" s="1"/>
  <c r="I36" i="6"/>
  <c r="K36" i="6" s="1"/>
  <c r="L36" i="6" s="1"/>
  <c r="O36" i="6"/>
  <c r="H37" i="6"/>
  <c r="P37" i="6" s="1"/>
  <c r="I37" i="6"/>
  <c r="H38" i="6"/>
  <c r="P38" i="6" s="1"/>
  <c r="I38" i="6"/>
  <c r="H39" i="6"/>
  <c r="P39" i="6" s="1"/>
  <c r="I39" i="6"/>
  <c r="K39" i="6" s="1"/>
  <c r="L39" i="6" s="1"/>
  <c r="H40" i="6"/>
  <c r="I40" i="6"/>
  <c r="K40" i="6" s="1"/>
  <c r="L40" i="6" s="1"/>
  <c r="H41" i="6"/>
  <c r="I41" i="6"/>
  <c r="K41" i="6" s="1"/>
  <c r="L41" i="6" s="1"/>
  <c r="I41" i="5"/>
  <c r="H41" i="5"/>
  <c r="U41" i="5" s="1"/>
  <c r="V41" i="5" s="1"/>
  <c r="I40" i="5"/>
  <c r="K40" i="5" s="1"/>
  <c r="L40" i="5" s="1"/>
  <c r="H40" i="5"/>
  <c r="U40" i="5" s="1"/>
  <c r="V40" i="5" s="1"/>
  <c r="I39" i="5"/>
  <c r="H39" i="5"/>
  <c r="U39" i="5" s="1"/>
  <c r="I38" i="5"/>
  <c r="K38" i="5" s="1"/>
  <c r="H38" i="5"/>
  <c r="I37" i="5"/>
  <c r="K37" i="5" s="1"/>
  <c r="L37" i="5" s="1"/>
  <c r="H37" i="5"/>
  <c r="T37" i="5" s="1"/>
  <c r="I36" i="5"/>
  <c r="U36" i="5"/>
  <c r="I35" i="5"/>
  <c r="K35" i="5" s="1"/>
  <c r="H35" i="5"/>
  <c r="I34" i="5"/>
  <c r="K34" i="5" s="1"/>
  <c r="L34" i="5" s="1"/>
  <c r="H34" i="5"/>
  <c r="T34" i="5" s="1"/>
  <c r="I33" i="5"/>
  <c r="K33" i="5" s="1"/>
  <c r="L33" i="5" s="1"/>
  <c r="H33" i="5"/>
  <c r="U33" i="5" s="1"/>
  <c r="I32" i="5"/>
  <c r="K32" i="5" s="1"/>
  <c r="H32" i="5"/>
  <c r="I31" i="5"/>
  <c r="K31" i="5" s="1"/>
  <c r="L31" i="5" s="1"/>
  <c r="H31" i="5"/>
  <c r="T31" i="5" s="1"/>
  <c r="I30" i="5"/>
  <c r="H30" i="5"/>
  <c r="U30" i="5" s="1"/>
  <c r="I29" i="5"/>
  <c r="K29" i="5" s="1"/>
  <c r="H29" i="5"/>
  <c r="I28" i="5"/>
  <c r="K28" i="5" s="1"/>
  <c r="L28" i="5" s="1"/>
  <c r="H28" i="5"/>
  <c r="T28" i="5" s="1"/>
  <c r="I27" i="5"/>
  <c r="K27" i="5" s="1"/>
  <c r="L27" i="5" s="1"/>
  <c r="H27" i="5"/>
  <c r="U27" i="5" s="1"/>
  <c r="I26" i="5"/>
  <c r="K26" i="5" s="1"/>
  <c r="H26" i="5"/>
  <c r="I25" i="5"/>
  <c r="K25" i="5" s="1"/>
  <c r="L25" i="5" s="1"/>
  <c r="H25" i="5"/>
  <c r="T25" i="5" s="1"/>
  <c r="I24" i="5"/>
  <c r="H24" i="5"/>
  <c r="U24" i="5" s="1"/>
  <c r="I23" i="5"/>
  <c r="K23" i="5" s="1"/>
  <c r="H23" i="5"/>
  <c r="I22" i="5"/>
  <c r="K22" i="5" s="1"/>
  <c r="L22" i="5" s="1"/>
  <c r="H22" i="5"/>
  <c r="T22" i="5" s="1"/>
  <c r="I21" i="5"/>
  <c r="H21" i="5"/>
  <c r="U21" i="5" s="1"/>
  <c r="I20" i="5"/>
  <c r="K20" i="5" s="1"/>
  <c r="H20" i="5"/>
  <c r="I19" i="5"/>
  <c r="K19" i="5" s="1"/>
  <c r="L19" i="5" s="1"/>
  <c r="H19" i="5"/>
  <c r="T19" i="5" s="1"/>
  <c r="I18" i="5"/>
  <c r="H18" i="5"/>
  <c r="U18" i="5" s="1"/>
  <c r="I17" i="5"/>
  <c r="K17" i="5" s="1"/>
  <c r="H17" i="5"/>
  <c r="I16" i="5"/>
  <c r="K16" i="5" s="1"/>
  <c r="L16" i="5" s="1"/>
  <c r="H16" i="5"/>
  <c r="T16" i="5" s="1"/>
  <c r="I15" i="5"/>
  <c r="K15" i="5" s="1"/>
  <c r="L15" i="5" s="1"/>
  <c r="H15" i="5"/>
  <c r="U15" i="5" s="1"/>
  <c r="I14" i="5"/>
  <c r="I13" i="5"/>
  <c r="K13" i="5" s="1"/>
  <c r="L13" i="5" s="1"/>
  <c r="H13" i="5"/>
  <c r="I12" i="5"/>
  <c r="I11" i="5"/>
  <c r="V11" i="5"/>
  <c r="I10" i="5"/>
  <c r="K10" i="5" s="1"/>
  <c r="L10" i="5" s="1"/>
  <c r="H10" i="5"/>
  <c r="U10" i="5" s="1"/>
  <c r="V10" i="5" s="1"/>
  <c r="K9" i="5"/>
  <c r="L9" i="5" s="1"/>
  <c r="U9" i="5"/>
  <c r="I8" i="5"/>
  <c r="H8" i="5"/>
  <c r="T8" i="5" s="1"/>
  <c r="I7" i="5"/>
  <c r="K7" i="5" s="1"/>
  <c r="L7" i="5" s="1"/>
  <c r="H7" i="5"/>
  <c r="I6" i="5"/>
  <c r="I5" i="5"/>
  <c r="K5" i="5" s="1"/>
  <c r="H5" i="5"/>
  <c r="T5" i="5" s="1"/>
  <c r="I4" i="5"/>
  <c r="K4" i="5" s="1"/>
  <c r="L4" i="5" s="1"/>
  <c r="H4" i="5"/>
  <c r="U4" i="5" s="1"/>
  <c r="V4" i="5" s="1"/>
  <c r="I3" i="5"/>
  <c r="H3" i="5"/>
  <c r="T3" i="5" s="1"/>
  <c r="E62" i="1"/>
  <c r="D62" i="1"/>
  <c r="E59" i="1"/>
  <c r="D59" i="1"/>
  <c r="E56" i="1"/>
  <c r="D56" i="1"/>
  <c r="D54" i="1"/>
  <c r="E53" i="1"/>
  <c r="D53" i="1"/>
  <c r="C49" i="1"/>
  <c r="C48" i="1"/>
  <c r="C46" i="1"/>
  <c r="C45" i="1"/>
  <c r="C43" i="1"/>
  <c r="C42" i="1"/>
  <c r="C40" i="1"/>
  <c r="C39" i="1"/>
  <c r="H30" i="1"/>
  <c r="G30" i="1"/>
  <c r="N30" i="1" s="1"/>
  <c r="H29" i="1"/>
  <c r="J29" i="1" s="1"/>
  <c r="K29" i="1" s="1"/>
  <c r="G29" i="1"/>
  <c r="N29" i="1" s="1"/>
  <c r="H28" i="1"/>
  <c r="G28" i="1"/>
  <c r="N28" i="1" s="1"/>
  <c r="H27" i="1"/>
  <c r="J27" i="1" s="1"/>
  <c r="K27" i="1" s="1"/>
  <c r="G27" i="1"/>
  <c r="N27" i="1" s="1"/>
  <c r="H26" i="1"/>
  <c r="J26" i="1" s="1"/>
  <c r="K26" i="1" s="1"/>
  <c r="G26" i="1"/>
  <c r="N26" i="1" s="1"/>
  <c r="H25" i="1"/>
  <c r="J25" i="1" s="1"/>
  <c r="K25" i="1" s="1"/>
  <c r="G25" i="1"/>
  <c r="N25" i="1" s="1"/>
  <c r="H24" i="1"/>
  <c r="J24" i="1" s="1"/>
  <c r="K24" i="1" s="1"/>
  <c r="G24" i="1"/>
  <c r="N24" i="1" s="1"/>
  <c r="H23" i="1"/>
  <c r="J23" i="1" s="1"/>
  <c r="K23" i="1" s="1"/>
  <c r="G23" i="1"/>
  <c r="N23" i="1" s="1"/>
  <c r="H22" i="1"/>
  <c r="J22" i="1" s="1"/>
  <c r="K22" i="1" s="1"/>
  <c r="G22" i="1"/>
  <c r="N22" i="1" s="1"/>
  <c r="H21" i="1"/>
  <c r="J21" i="1" s="1"/>
  <c r="K21" i="1" s="1"/>
  <c r="G21" i="1"/>
  <c r="N21" i="1" s="1"/>
  <c r="H20" i="1"/>
  <c r="J20" i="1" s="1"/>
  <c r="K20" i="1" s="1"/>
  <c r="G20" i="1"/>
  <c r="N20" i="1" s="1"/>
  <c r="H19" i="1"/>
  <c r="J19" i="1" s="1"/>
  <c r="K19" i="1" s="1"/>
  <c r="G19" i="1"/>
  <c r="N19" i="1" s="1"/>
  <c r="H17" i="1"/>
  <c r="G17" i="1"/>
  <c r="N17" i="1" s="1"/>
  <c r="H16" i="1"/>
  <c r="J16" i="1" s="1"/>
  <c r="K16" i="1" s="1"/>
  <c r="G16" i="1"/>
  <c r="N16" i="1" s="1"/>
  <c r="H15" i="1"/>
  <c r="J15" i="1" s="1"/>
  <c r="K15" i="1" s="1"/>
  <c r="G15" i="1"/>
  <c r="N15" i="1" s="1"/>
  <c r="H14" i="1"/>
  <c r="J14" i="1" s="1"/>
  <c r="K14" i="1" s="1"/>
  <c r="G14" i="1"/>
  <c r="H13" i="1"/>
  <c r="J13" i="1" s="1"/>
  <c r="K13" i="1" s="1"/>
  <c r="G13" i="1"/>
  <c r="N13" i="1" s="1"/>
  <c r="H12" i="1"/>
  <c r="J12" i="1" s="1"/>
  <c r="K12" i="1" s="1"/>
  <c r="G12" i="1"/>
  <c r="N12" i="1" s="1"/>
  <c r="M26" i="1" l="1"/>
  <c r="O39" i="6"/>
  <c r="O19" i="1"/>
  <c r="O21" i="1"/>
  <c r="O27" i="1"/>
  <c r="O25" i="1"/>
  <c r="O26" i="1" s="1"/>
  <c r="J31" i="6"/>
  <c r="J7" i="6"/>
  <c r="M57" i="6"/>
  <c r="R3" i="6"/>
  <c r="O17" i="1"/>
  <c r="O15" i="1"/>
  <c r="O16" i="1" s="1"/>
  <c r="O22" i="1"/>
  <c r="O24" i="1"/>
  <c r="O30" i="1"/>
  <c r="O28" i="1"/>
  <c r="O29" i="1" s="1"/>
  <c r="K14" i="5"/>
  <c r="L14" i="5" s="1"/>
  <c r="J14" i="5"/>
  <c r="O24" i="6"/>
  <c r="P23" i="6"/>
  <c r="P22" i="6"/>
  <c r="O7" i="6"/>
  <c r="P31" i="6"/>
  <c r="J24" i="6"/>
  <c r="O15" i="6"/>
  <c r="O8" i="6"/>
  <c r="R45" i="6"/>
  <c r="S45" i="6" s="1"/>
  <c r="AF9" i="5"/>
  <c r="K21" i="5"/>
  <c r="L21" i="5" s="1"/>
  <c r="J21" i="5"/>
  <c r="U14" i="5"/>
  <c r="V14" i="5" s="1"/>
  <c r="T14" i="5"/>
  <c r="AE67" i="5"/>
  <c r="Q69" i="5"/>
  <c r="S69" i="5" s="1"/>
  <c r="AE71" i="5"/>
  <c r="AC45" i="5"/>
  <c r="AE45" i="5"/>
  <c r="Q42" i="5"/>
  <c r="S42" i="5" s="1"/>
  <c r="AE69" i="5"/>
  <c r="Q54" i="5"/>
  <c r="S54" i="5" s="1"/>
  <c r="R4" i="6"/>
  <c r="S3" i="6"/>
  <c r="O12" i="6"/>
  <c r="P66" i="5"/>
  <c r="O66" i="5"/>
  <c r="I14" i="1"/>
  <c r="O13" i="6"/>
  <c r="O3" i="6"/>
  <c r="P72" i="5"/>
  <c r="O72" i="5"/>
  <c r="Q51" i="5"/>
  <c r="S51" i="5" s="1"/>
  <c r="O33" i="6"/>
  <c r="P21" i="6"/>
  <c r="J12" i="6"/>
  <c r="O4" i="6"/>
  <c r="U42" i="6"/>
  <c r="AE61" i="5"/>
  <c r="L20" i="5"/>
  <c r="L26" i="5"/>
  <c r="L32" i="5"/>
  <c r="L38" i="5"/>
  <c r="L5" i="5"/>
  <c r="L17" i="5"/>
  <c r="AE15" i="5" s="1"/>
  <c r="L50" i="5"/>
  <c r="AE48" i="5" s="1"/>
  <c r="L23" i="5"/>
  <c r="L29" i="5"/>
  <c r="AE27" i="5" s="1"/>
  <c r="L35" i="5"/>
  <c r="Q33" i="5" s="1"/>
  <c r="S33" i="5" s="1"/>
  <c r="L59" i="5"/>
  <c r="AE57" i="5" s="1"/>
  <c r="AD36" i="8"/>
  <c r="AE36" i="8" s="1"/>
  <c r="AA36" i="8"/>
  <c r="AC36" i="8" s="1"/>
  <c r="I21" i="1"/>
  <c r="I30" i="1"/>
  <c r="O27" i="6"/>
  <c r="J20" i="6"/>
  <c r="J19" i="6"/>
  <c r="Q6" i="6"/>
  <c r="Q18" i="6"/>
  <c r="P19" i="6"/>
  <c r="P18" i="6"/>
  <c r="R36" i="6"/>
  <c r="P32" i="6"/>
  <c r="P20" i="6"/>
  <c r="K19" i="6"/>
  <c r="L19" i="6" s="1"/>
  <c r="O14" i="6"/>
  <c r="Q60" i="6"/>
  <c r="AA60" i="5"/>
  <c r="AB60" i="5" s="1"/>
  <c r="J41" i="8"/>
  <c r="K41" i="8" s="1"/>
  <c r="L41" i="8" s="1"/>
  <c r="I42" i="8"/>
  <c r="I117" i="8"/>
  <c r="J116" i="8"/>
  <c r="K116" i="8" s="1"/>
  <c r="L116" i="8" s="1"/>
  <c r="Q40" i="8" s="1"/>
  <c r="U115" i="8"/>
  <c r="V114" i="8"/>
  <c r="W114" i="8" s="1"/>
  <c r="J36" i="5"/>
  <c r="AC39" i="5"/>
  <c r="AC40" i="5" s="1"/>
  <c r="J24" i="5"/>
  <c r="AA57" i="5"/>
  <c r="AB57" i="5" s="1"/>
  <c r="T11" i="5"/>
  <c r="AA63" i="5"/>
  <c r="AB63" i="5" s="1"/>
  <c r="AF51" i="5"/>
  <c r="J18" i="5"/>
  <c r="J30" i="5"/>
  <c r="AE42" i="5"/>
  <c r="V51" i="5"/>
  <c r="X51" i="5" s="1"/>
  <c r="Z51" i="5" s="1"/>
  <c r="AA42" i="5"/>
  <c r="AB42" i="5" s="1"/>
  <c r="J3" i="5"/>
  <c r="J8" i="5"/>
  <c r="T10" i="5"/>
  <c r="AA48" i="5"/>
  <c r="AB48" i="5" s="1"/>
  <c r="AA54" i="5"/>
  <c r="AB54" i="5" s="1"/>
  <c r="U12" i="5"/>
  <c r="V12" i="5" s="1"/>
  <c r="J19" i="5"/>
  <c r="J25" i="5"/>
  <c r="J31" i="5"/>
  <c r="J37" i="5"/>
  <c r="AD54" i="5"/>
  <c r="U3" i="5"/>
  <c r="J10" i="5"/>
  <c r="U38" i="8"/>
  <c r="V37" i="8"/>
  <c r="W37" i="8" s="1"/>
  <c r="X37" i="8" s="1"/>
  <c r="V24" i="6"/>
  <c r="R24" i="6"/>
  <c r="I17" i="1"/>
  <c r="I12" i="1"/>
  <c r="I20" i="1"/>
  <c r="I23" i="1"/>
  <c r="I27" i="1"/>
  <c r="J5" i="5"/>
  <c r="K8" i="5"/>
  <c r="J16" i="5"/>
  <c r="J22" i="5"/>
  <c r="J28" i="5"/>
  <c r="J34" i="5"/>
  <c r="J36" i="6"/>
  <c r="J33" i="6"/>
  <c r="J32" i="6"/>
  <c r="K31" i="6"/>
  <c r="L31" i="6" s="1"/>
  <c r="P30" i="6"/>
  <c r="O26" i="6"/>
  <c r="K20" i="6"/>
  <c r="L20" i="6" s="1"/>
  <c r="J11" i="6"/>
  <c r="J8" i="6"/>
  <c r="P6" i="6"/>
  <c r="J3" i="6"/>
  <c r="U57" i="6"/>
  <c r="AD63" i="5"/>
  <c r="M63" i="5"/>
  <c r="AD45" i="5"/>
  <c r="M45" i="5"/>
  <c r="O45" i="5" s="1"/>
  <c r="U51" i="6"/>
  <c r="N51" i="6"/>
  <c r="R66" i="6"/>
  <c r="S66" i="6" s="1"/>
  <c r="V66" i="6"/>
  <c r="AA66" i="5"/>
  <c r="AB66" i="5" s="1"/>
  <c r="AF54" i="5"/>
  <c r="V54" i="5"/>
  <c r="X54" i="5" s="1"/>
  <c r="Z54" i="5" s="1"/>
  <c r="AC54" i="5"/>
  <c r="M69" i="5"/>
  <c r="AD69" i="5"/>
  <c r="T54" i="6"/>
  <c r="M54" i="6"/>
  <c r="AA69" i="5"/>
  <c r="AB69" i="5" s="1"/>
  <c r="AE60" i="5"/>
  <c r="Q60" i="5"/>
  <c r="S60" i="5" s="1"/>
  <c r="M60" i="5"/>
  <c r="AD60" i="5"/>
  <c r="AF60" i="5"/>
  <c r="N42" i="6"/>
  <c r="R60" i="6"/>
  <c r="S60" i="6" s="1"/>
  <c r="M48" i="6"/>
  <c r="M54" i="5"/>
  <c r="U8" i="5"/>
  <c r="V8" i="5" s="1"/>
  <c r="U16" i="5"/>
  <c r="V16" i="5" s="1"/>
  <c r="U22" i="5"/>
  <c r="V22" i="5" s="1"/>
  <c r="U28" i="5"/>
  <c r="V28" i="5" s="1"/>
  <c r="U34" i="5"/>
  <c r="V34" i="5" s="1"/>
  <c r="J39" i="6"/>
  <c r="J35" i="6"/>
  <c r="J28" i="6"/>
  <c r="J27" i="6"/>
  <c r="J21" i="6"/>
  <c r="V18" i="6"/>
  <c r="J10" i="6"/>
  <c r="U54" i="6"/>
  <c r="N54" i="6"/>
  <c r="T63" i="6"/>
  <c r="M63" i="6"/>
  <c r="T42" i="6"/>
  <c r="M42" i="6"/>
  <c r="AC66" i="5"/>
  <c r="V66" i="5"/>
  <c r="X66" i="5" s="1"/>
  <c r="Z66" i="5" s="1"/>
  <c r="AF66" i="5"/>
  <c r="T69" i="6"/>
  <c r="M69" i="6"/>
  <c r="Q54" i="6"/>
  <c r="V69" i="5"/>
  <c r="AC69" i="5"/>
  <c r="AC51" i="5"/>
  <c r="AC42" i="5"/>
  <c r="AC43" i="5" s="1"/>
  <c r="J30" i="1"/>
  <c r="K30" i="1" s="1"/>
  <c r="U5" i="5"/>
  <c r="V5" i="5" s="1"/>
  <c r="U39" i="6"/>
  <c r="Q30" i="6"/>
  <c r="U60" i="6"/>
  <c r="N60" i="6"/>
  <c r="V63" i="6"/>
  <c r="R63" i="6"/>
  <c r="S63" i="6" s="1"/>
  <c r="AD42" i="5"/>
  <c r="M42" i="5"/>
  <c r="X72" i="5"/>
  <c r="Z72" i="5" s="1"/>
  <c r="V48" i="6"/>
  <c r="R48" i="6"/>
  <c r="S48" i="6" s="1"/>
  <c r="T51" i="6"/>
  <c r="M51" i="6"/>
  <c r="Q69" i="6"/>
  <c r="AF45" i="5"/>
  <c r="X60" i="5"/>
  <c r="Z60" i="5" s="1"/>
  <c r="R51" i="6"/>
  <c r="S51" i="6" s="1"/>
  <c r="N48" i="6"/>
  <c r="AF42" i="5"/>
  <c r="I25" i="1"/>
  <c r="I28" i="1"/>
  <c r="J17" i="1"/>
  <c r="K17" i="1" s="1"/>
  <c r="I22" i="1"/>
  <c r="J28" i="1"/>
  <c r="K28" i="1" s="1"/>
  <c r="M29" i="1" s="1"/>
  <c r="I29" i="1"/>
  <c r="J15" i="5"/>
  <c r="K18" i="5"/>
  <c r="L18" i="5" s="1"/>
  <c r="U19" i="5"/>
  <c r="V19" i="5" s="1"/>
  <c r="K24" i="5"/>
  <c r="L24" i="5" s="1"/>
  <c r="U25" i="5"/>
  <c r="V25" i="5" s="1"/>
  <c r="J27" i="5"/>
  <c r="K30" i="5"/>
  <c r="L30" i="5" s="1"/>
  <c r="U31" i="5"/>
  <c r="V31" i="5" s="1"/>
  <c r="J33" i="5"/>
  <c r="K36" i="5"/>
  <c r="L36" i="5" s="1"/>
  <c r="U37" i="5"/>
  <c r="V37" i="5" s="1"/>
  <c r="K33" i="6"/>
  <c r="L33" i="6" s="1"/>
  <c r="U33" i="6" s="1"/>
  <c r="O25" i="6"/>
  <c r="J22" i="6"/>
  <c r="J17" i="6"/>
  <c r="J16" i="6"/>
  <c r="J15" i="6"/>
  <c r="O5" i="6"/>
  <c r="Q3" i="6" s="1"/>
  <c r="AF63" i="5"/>
  <c r="V63" i="5"/>
  <c r="X63" i="5" s="1"/>
  <c r="Z63" i="5" s="1"/>
  <c r="AC63" i="5"/>
  <c r="AD57" i="5"/>
  <c r="M57" i="5"/>
  <c r="AD48" i="5"/>
  <c r="M48" i="5"/>
  <c r="T66" i="6"/>
  <c r="M66" i="6"/>
  <c r="Q66" i="6"/>
  <c r="AF69" i="5"/>
  <c r="V71" i="5"/>
  <c r="AF57" i="5"/>
  <c r="AC57" i="5"/>
  <c r="V57" i="5"/>
  <c r="X57" i="5" s="1"/>
  <c r="Z57" i="5" s="1"/>
  <c r="R69" i="6"/>
  <c r="S69" i="6" s="1"/>
  <c r="V69" i="6"/>
  <c r="T60" i="6"/>
  <c r="M60" i="6"/>
  <c r="AD51" i="5"/>
  <c r="M51" i="5"/>
  <c r="X45" i="5"/>
  <c r="Z45" i="5" s="1"/>
  <c r="AC60" i="5"/>
  <c r="X42" i="5"/>
  <c r="Z42" i="5" s="1"/>
  <c r="U45" i="6"/>
  <c r="N45" i="6"/>
  <c r="J41" i="6"/>
  <c r="V36" i="6"/>
  <c r="T41" i="5"/>
  <c r="AF39" i="5"/>
  <c r="J39" i="5"/>
  <c r="K39" i="5"/>
  <c r="L39" i="5" s="1"/>
  <c r="T39" i="5"/>
  <c r="N21" i="6"/>
  <c r="U21" i="6"/>
  <c r="O40" i="6"/>
  <c r="P40" i="6"/>
  <c r="V33" i="6"/>
  <c r="R33" i="6"/>
  <c r="O29" i="6"/>
  <c r="P29" i="6"/>
  <c r="J14" i="6"/>
  <c r="K14" i="6"/>
  <c r="L14" i="6" s="1"/>
  <c r="R12" i="6"/>
  <c r="V12" i="6"/>
  <c r="N9" i="6"/>
  <c r="J5" i="6"/>
  <c r="K5" i="6"/>
  <c r="L5" i="6" s="1"/>
  <c r="V3" i="6"/>
  <c r="J38" i="6"/>
  <c r="K38" i="6"/>
  <c r="L38" i="6" s="1"/>
  <c r="J37" i="6"/>
  <c r="M36" i="6" s="1"/>
  <c r="K37" i="6"/>
  <c r="L37" i="6" s="1"/>
  <c r="Q33" i="6"/>
  <c r="V30" i="6"/>
  <c r="O28" i="6"/>
  <c r="P28" i="6"/>
  <c r="V21" i="6"/>
  <c r="R21" i="6"/>
  <c r="U15" i="6"/>
  <c r="J6" i="6"/>
  <c r="K6" i="6"/>
  <c r="L6" i="6" s="1"/>
  <c r="N39" i="6"/>
  <c r="N33" i="6"/>
  <c r="U27" i="6"/>
  <c r="J26" i="6"/>
  <c r="K26" i="6"/>
  <c r="L26" i="6" s="1"/>
  <c r="J25" i="6"/>
  <c r="K25" i="6"/>
  <c r="L25" i="6" s="1"/>
  <c r="Q21" i="6"/>
  <c r="J18" i="6"/>
  <c r="K18" i="6"/>
  <c r="L18" i="6" s="1"/>
  <c r="U9" i="6"/>
  <c r="O41" i="6"/>
  <c r="P41" i="6"/>
  <c r="J40" i="6"/>
  <c r="O38" i="6"/>
  <c r="O37" i="6"/>
  <c r="J34" i="6"/>
  <c r="M33" i="6" s="1"/>
  <c r="J30" i="6"/>
  <c r="K30" i="6"/>
  <c r="L30" i="6" s="1"/>
  <c r="J29" i="6"/>
  <c r="N27" i="6"/>
  <c r="Q24" i="6"/>
  <c r="J23" i="6"/>
  <c r="O17" i="6"/>
  <c r="P17" i="6"/>
  <c r="O16" i="6"/>
  <c r="P16" i="6"/>
  <c r="N15" i="6"/>
  <c r="J13" i="6"/>
  <c r="T12" i="6" s="1"/>
  <c r="K13" i="6"/>
  <c r="L13" i="6" s="1"/>
  <c r="V9" i="6"/>
  <c r="R9" i="6"/>
  <c r="J9" i="6"/>
  <c r="O9" i="6"/>
  <c r="Q9" i="6" s="1"/>
  <c r="J4" i="6"/>
  <c r="K4" i="6"/>
  <c r="L4" i="6" s="1"/>
  <c r="V6" i="5"/>
  <c r="U7" i="5"/>
  <c r="T7" i="5"/>
  <c r="AA6" i="5" s="1"/>
  <c r="AB6" i="5" s="1"/>
  <c r="U13" i="5"/>
  <c r="T13" i="5"/>
  <c r="V24" i="5"/>
  <c r="U29" i="5"/>
  <c r="V29" i="5" s="1"/>
  <c r="T29" i="5"/>
  <c r="V30" i="5"/>
  <c r="U35" i="5"/>
  <c r="V35" i="5" s="1"/>
  <c r="T35" i="5"/>
  <c r="V36" i="5"/>
  <c r="U17" i="5"/>
  <c r="V17" i="5" s="1"/>
  <c r="T17" i="5"/>
  <c r="K3" i="5"/>
  <c r="T4" i="5"/>
  <c r="AA3" i="5" s="1"/>
  <c r="AB3" i="5" s="1"/>
  <c r="J7" i="5"/>
  <c r="K11" i="5"/>
  <c r="J11" i="5"/>
  <c r="J13" i="5"/>
  <c r="K41" i="5"/>
  <c r="J41" i="5"/>
  <c r="K6" i="5"/>
  <c r="L6" i="5" s="1"/>
  <c r="J6" i="5"/>
  <c r="V9" i="5"/>
  <c r="X9" i="5" s="1"/>
  <c r="Z9" i="5" s="1"/>
  <c r="AC9" i="5"/>
  <c r="AC10" i="5" s="1"/>
  <c r="K12" i="5"/>
  <c r="L12" i="5" s="1"/>
  <c r="J12" i="5"/>
  <c r="V18" i="5"/>
  <c r="U23" i="5"/>
  <c r="V23" i="5" s="1"/>
  <c r="T23" i="5"/>
  <c r="J4" i="5"/>
  <c r="V15" i="5"/>
  <c r="U20" i="5"/>
  <c r="V20" i="5" s="1"/>
  <c r="T20" i="5"/>
  <c r="V21" i="5"/>
  <c r="U26" i="5"/>
  <c r="V26" i="5" s="1"/>
  <c r="T26" i="5"/>
  <c r="V27" i="5"/>
  <c r="U32" i="5"/>
  <c r="V32" i="5" s="1"/>
  <c r="T32" i="5"/>
  <c r="V33" i="5"/>
  <c r="U38" i="5"/>
  <c r="V38" i="5" s="1"/>
  <c r="T38" i="5"/>
  <c r="V39" i="5"/>
  <c r="X39" i="5" s="1"/>
  <c r="Z39" i="5" s="1"/>
  <c r="T9" i="5"/>
  <c r="T15" i="5"/>
  <c r="T18" i="5"/>
  <c r="T21" i="5"/>
  <c r="T24" i="5"/>
  <c r="T27" i="5"/>
  <c r="T30" i="5"/>
  <c r="T33" i="5"/>
  <c r="T36" i="5"/>
  <c r="J17" i="5"/>
  <c r="J20" i="5"/>
  <c r="J23" i="5"/>
  <c r="J26" i="5"/>
  <c r="J29" i="5"/>
  <c r="J32" i="5"/>
  <c r="J35" i="5"/>
  <c r="J38" i="5"/>
  <c r="T40" i="5"/>
  <c r="J40" i="5"/>
  <c r="M22" i="1"/>
  <c r="M23" i="1"/>
  <c r="O20" i="1"/>
  <c r="M25" i="1"/>
  <c r="M20" i="1"/>
  <c r="M19" i="1"/>
  <c r="M16" i="1"/>
  <c r="M15" i="1"/>
  <c r="M12" i="1"/>
  <c r="M13" i="1"/>
  <c r="M28" i="1"/>
  <c r="I13" i="1"/>
  <c r="L12" i="1" s="1"/>
  <c r="N14" i="1"/>
  <c r="O12" i="1" s="1"/>
  <c r="O13" i="1" s="1"/>
  <c r="I15" i="1"/>
  <c r="O23" i="1"/>
  <c r="I24" i="1"/>
  <c r="I26" i="1"/>
  <c r="I16" i="1"/>
  <c r="I19" i="1"/>
  <c r="Q36" i="6" l="1"/>
  <c r="L29" i="1"/>
  <c r="AD9" i="5"/>
  <c r="AD3" i="5"/>
  <c r="R30" i="6"/>
  <c r="Q21" i="5"/>
  <c r="S21" i="5" s="1"/>
  <c r="M21" i="5"/>
  <c r="O21" i="5" s="1"/>
  <c r="O14" i="1"/>
  <c r="P25" i="1"/>
  <c r="L26" i="1"/>
  <c r="P26" i="1"/>
  <c r="V7" i="5"/>
  <c r="AF6" i="5"/>
  <c r="L23" i="1"/>
  <c r="AA12" i="5"/>
  <c r="AB12" i="5" s="1"/>
  <c r="M12" i="5"/>
  <c r="O12" i="5" s="1"/>
  <c r="Q12" i="6"/>
  <c r="Q15" i="5"/>
  <c r="S15" i="5"/>
  <c r="AF3" i="5"/>
  <c r="AC3" i="5"/>
  <c r="AC4" i="5" s="1"/>
  <c r="AC5" i="5" s="1"/>
  <c r="V3" i="5"/>
  <c r="X3" i="5" s="1"/>
  <c r="Z3" i="5" s="1"/>
  <c r="M24" i="5"/>
  <c r="P24" i="5" s="1"/>
  <c r="AE33" i="5"/>
  <c r="AE24" i="5"/>
  <c r="M27" i="5"/>
  <c r="O27" i="5" s="1"/>
  <c r="Q27" i="5"/>
  <c r="S27" i="5" s="1"/>
  <c r="AE18" i="5"/>
  <c r="Q57" i="5"/>
  <c r="S57" i="5" s="1"/>
  <c r="M3" i="5"/>
  <c r="AE30" i="5"/>
  <c r="R31" i="6"/>
  <c r="S30" i="6"/>
  <c r="P27" i="5"/>
  <c r="R13" i="6"/>
  <c r="S12" i="6"/>
  <c r="P57" i="5"/>
  <c r="O57" i="5"/>
  <c r="R25" i="6"/>
  <c r="S24" i="6"/>
  <c r="AD36" i="5"/>
  <c r="P69" i="5"/>
  <c r="O69" i="5"/>
  <c r="AE21" i="5"/>
  <c r="R37" i="6"/>
  <c r="S36" i="6"/>
  <c r="AC33" i="5"/>
  <c r="AC34" i="5" s="1"/>
  <c r="T21" i="6"/>
  <c r="R34" i="6"/>
  <c r="S33" i="6"/>
  <c r="P48" i="5"/>
  <c r="O48" i="5"/>
  <c r="Q48" i="5"/>
  <c r="S48" i="5" s="1"/>
  <c r="P42" i="5"/>
  <c r="O42" i="5"/>
  <c r="P60" i="5"/>
  <c r="O60" i="5"/>
  <c r="P45" i="5"/>
  <c r="P63" i="5"/>
  <c r="O63" i="5"/>
  <c r="R10" i="6"/>
  <c r="S9" i="6"/>
  <c r="R22" i="6"/>
  <c r="S21" i="6"/>
  <c r="P51" i="5"/>
  <c r="O51" i="5"/>
  <c r="P54" i="5"/>
  <c r="O54" i="5"/>
  <c r="O24" i="5"/>
  <c r="AA15" i="5"/>
  <c r="AB15" i="5" s="1"/>
  <c r="M27" i="6"/>
  <c r="AE36" i="5"/>
  <c r="L25" i="1"/>
  <c r="AF12" i="5"/>
  <c r="T15" i="6"/>
  <c r="L11" i="5"/>
  <c r="AE9" i="5" s="1"/>
  <c r="L8" i="5"/>
  <c r="AE6" i="5" s="1"/>
  <c r="L41" i="5"/>
  <c r="AE39" i="5" s="1"/>
  <c r="L3" i="5"/>
  <c r="AE3" i="5" s="1"/>
  <c r="AD37" i="8"/>
  <c r="AE37" i="8" s="1"/>
  <c r="AA37" i="8"/>
  <c r="AC37" i="8" s="1"/>
  <c r="X33" i="5"/>
  <c r="Z33" i="5" s="1"/>
  <c r="Q27" i="6"/>
  <c r="N3" i="6"/>
  <c r="M15" i="6"/>
  <c r="R18" i="6"/>
  <c r="AA18" i="5"/>
  <c r="AB18" i="5" s="1"/>
  <c r="AA21" i="5"/>
  <c r="AB21" i="5" s="1"/>
  <c r="U116" i="8"/>
  <c r="V115" i="8"/>
  <c r="W115" i="8" s="1"/>
  <c r="I118" i="8"/>
  <c r="J117" i="8"/>
  <c r="K117" i="8" s="1"/>
  <c r="L117" i="8" s="1"/>
  <c r="Q41" i="8" s="1"/>
  <c r="I43" i="8"/>
  <c r="J42" i="8"/>
  <c r="K42" i="8" s="1"/>
  <c r="L42" i="8" s="1"/>
  <c r="AD33" i="5"/>
  <c r="AA9" i="5"/>
  <c r="AB9" i="5" s="1"/>
  <c r="M30" i="5"/>
  <c r="AD18" i="5"/>
  <c r="AF33" i="5"/>
  <c r="AC21" i="5"/>
  <c r="AC22" i="5" s="1"/>
  <c r="AC15" i="5"/>
  <c r="AC16" i="5" s="1"/>
  <c r="M9" i="5"/>
  <c r="AD15" i="5"/>
  <c r="AA33" i="5"/>
  <c r="AB33" i="5" s="1"/>
  <c r="X27" i="5"/>
  <c r="Z27" i="5" s="1"/>
  <c r="X15" i="5"/>
  <c r="Z15" i="5" s="1"/>
  <c r="AD21" i="5"/>
  <c r="U39" i="8"/>
  <c r="V38" i="8"/>
  <c r="W38" i="8" s="1"/>
  <c r="X38" i="8" s="1"/>
  <c r="L13" i="1"/>
  <c r="L22" i="1"/>
  <c r="AA27" i="5"/>
  <c r="AB27" i="5" s="1"/>
  <c r="AD27" i="5"/>
  <c r="U12" i="6"/>
  <c r="N12" i="6"/>
  <c r="AA36" i="5"/>
  <c r="AB36" i="5" s="1"/>
  <c r="AA24" i="5"/>
  <c r="AB24" i="5" s="1"/>
  <c r="AF15" i="5"/>
  <c r="AF30" i="5"/>
  <c r="T33" i="6"/>
  <c r="T24" i="6"/>
  <c r="T27" i="6"/>
  <c r="N36" i="6"/>
  <c r="AA39" i="5"/>
  <c r="AB39" i="5" s="1"/>
  <c r="Q30" i="5"/>
  <c r="S30" i="5" s="1"/>
  <c r="Q18" i="5"/>
  <c r="S18" i="5" s="1"/>
  <c r="AD24" i="5"/>
  <c r="M21" i="6"/>
  <c r="L28" i="1"/>
  <c r="T39" i="6"/>
  <c r="R6" i="6"/>
  <c r="V6" i="6"/>
  <c r="R5" i="6"/>
  <c r="X69" i="5"/>
  <c r="Z69" i="5" s="1"/>
  <c r="Q36" i="5"/>
  <c r="S36" i="5" s="1"/>
  <c r="Q24" i="5"/>
  <c r="S24" i="5" s="1"/>
  <c r="T36" i="6"/>
  <c r="M39" i="6"/>
  <c r="M39" i="5"/>
  <c r="T18" i="6"/>
  <c r="M18" i="6"/>
  <c r="N6" i="6"/>
  <c r="U6" i="6"/>
  <c r="U3" i="6"/>
  <c r="U36" i="6"/>
  <c r="T3" i="6"/>
  <c r="W3" i="6" s="1"/>
  <c r="T6" i="6"/>
  <c r="M6" i="6"/>
  <c r="R27" i="6"/>
  <c r="V27" i="6"/>
  <c r="V15" i="6"/>
  <c r="R15" i="6"/>
  <c r="N30" i="6"/>
  <c r="U30" i="6"/>
  <c r="M24" i="6"/>
  <c r="M12" i="6"/>
  <c r="R39" i="6"/>
  <c r="S39" i="6" s="1"/>
  <c r="V39" i="6"/>
  <c r="M9" i="6"/>
  <c r="T9" i="6"/>
  <c r="Q15" i="6"/>
  <c r="T30" i="6"/>
  <c r="M30" i="6"/>
  <c r="N18" i="6"/>
  <c r="U18" i="6"/>
  <c r="N24" i="6"/>
  <c r="M3" i="6"/>
  <c r="U24" i="6"/>
  <c r="Q39" i="6"/>
  <c r="X21" i="5"/>
  <c r="Z21" i="5" s="1"/>
  <c r="AF18" i="5"/>
  <c r="AE12" i="5"/>
  <c r="Q12" i="5"/>
  <c r="S12" i="5" s="1"/>
  <c r="AD39" i="5"/>
  <c r="M36" i="5"/>
  <c r="AD30" i="5"/>
  <c r="M33" i="5"/>
  <c r="X36" i="5"/>
  <c r="Z36" i="5" s="1"/>
  <c r="AC30" i="5"/>
  <c r="AC31" i="5" s="1"/>
  <c r="AF24" i="5"/>
  <c r="V13" i="5"/>
  <c r="X12" i="5" s="1"/>
  <c r="Z12" i="5" s="1"/>
  <c r="AC12" i="5"/>
  <c r="AC13" i="5" s="1"/>
  <c r="AC6" i="5"/>
  <c r="AC7" i="5" s="1"/>
  <c r="AC36" i="5"/>
  <c r="AC37" i="5" s="1"/>
  <c r="AA30" i="5"/>
  <c r="AB30" i="5" s="1"/>
  <c r="AF27" i="5"/>
  <c r="AC18" i="5"/>
  <c r="AC19" i="5" s="1"/>
  <c r="AD6" i="5"/>
  <c r="M6" i="5"/>
  <c r="M18" i="5"/>
  <c r="M15" i="5"/>
  <c r="X30" i="5"/>
  <c r="Z30" i="5" s="1"/>
  <c r="AC24" i="5"/>
  <c r="AC25" i="5" s="1"/>
  <c r="X6" i="5"/>
  <c r="Z6" i="5" s="1"/>
  <c r="AD12" i="5"/>
  <c r="AC27" i="5"/>
  <c r="AC28" i="5" s="1"/>
  <c r="AF21" i="5"/>
  <c r="X18" i="5"/>
  <c r="Z18" i="5" s="1"/>
  <c r="AF36" i="5"/>
  <c r="X24" i="5"/>
  <c r="Z24" i="5" s="1"/>
  <c r="L15" i="1"/>
  <c r="L16" i="1"/>
  <c r="L20" i="1"/>
  <c r="L19" i="1"/>
  <c r="P3" i="5" l="1"/>
  <c r="O3" i="5"/>
  <c r="O12" i="8"/>
  <c r="Q6" i="5"/>
  <c r="S6" i="5" s="1"/>
  <c r="Q39" i="5"/>
  <c r="S39" i="5" s="1"/>
  <c r="P6" i="5"/>
  <c r="O6" i="5"/>
  <c r="R16" i="6"/>
  <c r="S15" i="6"/>
  <c r="P33" i="5"/>
  <c r="O33" i="5"/>
  <c r="P36" i="5"/>
  <c r="O36" i="5"/>
  <c r="P21" i="5"/>
  <c r="P15" i="5"/>
  <c r="O15" i="5"/>
  <c r="Q3" i="5"/>
  <c r="S3" i="5" s="1"/>
  <c r="R7" i="6"/>
  <c r="S6" i="6"/>
  <c r="P30" i="5"/>
  <c r="O30" i="5"/>
  <c r="P39" i="5"/>
  <c r="O39" i="5"/>
  <c r="R19" i="6"/>
  <c r="S18" i="6"/>
  <c r="P18" i="5"/>
  <c r="O18" i="5"/>
  <c r="R28" i="6"/>
  <c r="S27" i="6"/>
  <c r="P9" i="5"/>
  <c r="O9" i="5"/>
  <c r="P12" i="5"/>
  <c r="Q9" i="5"/>
  <c r="S9" i="5" s="1"/>
  <c r="AD38" i="8"/>
  <c r="AE38" i="8" s="1"/>
  <c r="AA38" i="8"/>
  <c r="AC38" i="8" s="1"/>
  <c r="I44" i="8"/>
  <c r="J43" i="8"/>
  <c r="K43" i="8" s="1"/>
  <c r="L43" i="8" s="1"/>
  <c r="U117" i="8"/>
  <c r="V116" i="8"/>
  <c r="W116" i="8" s="1"/>
  <c r="I119" i="8"/>
  <c r="J118" i="8"/>
  <c r="K118" i="8" s="1"/>
  <c r="L118" i="8" s="1"/>
  <c r="Q42" i="8" s="1"/>
  <c r="W3" i="5"/>
  <c r="U40" i="8"/>
  <c r="V39" i="8"/>
  <c r="W39" i="8" s="1"/>
  <c r="X39" i="8" s="1"/>
  <c r="N42" i="8" l="1"/>
  <c r="O44" i="8" s="1"/>
  <c r="R12" i="8"/>
  <c r="AD39" i="8"/>
  <c r="AE39" i="8" s="1"/>
  <c r="AA39" i="8"/>
  <c r="AC39" i="8" s="1"/>
  <c r="I120" i="8"/>
  <c r="J119" i="8"/>
  <c r="K119" i="8" s="1"/>
  <c r="L119" i="8" s="1"/>
  <c r="Q43" i="8" s="1"/>
  <c r="N43" i="8" s="1"/>
  <c r="I45" i="8"/>
  <c r="J44" i="8"/>
  <c r="K44" i="8" s="1"/>
  <c r="L44" i="8" s="1"/>
  <c r="U118" i="8"/>
  <c r="V117" i="8"/>
  <c r="W117" i="8" s="1"/>
  <c r="U41" i="8"/>
  <c r="V40" i="8"/>
  <c r="W40" i="8" s="1"/>
  <c r="X40" i="8" s="1"/>
  <c r="AD40" i="8" l="1"/>
  <c r="AE40" i="8" s="1"/>
  <c r="AA40" i="8"/>
  <c r="AC40" i="8" s="1"/>
  <c r="I121" i="8"/>
  <c r="J120" i="8"/>
  <c r="K120" i="8" s="1"/>
  <c r="L120" i="8" s="1"/>
  <c r="Q44" i="8" s="1"/>
  <c r="N44" i="8" s="1"/>
  <c r="U119" i="8"/>
  <c r="V118" i="8"/>
  <c r="W118" i="8" s="1"/>
  <c r="I46" i="8"/>
  <c r="J45" i="8"/>
  <c r="K45" i="8" s="1"/>
  <c r="L45" i="8" s="1"/>
  <c r="U42" i="8"/>
  <c r="V41" i="8"/>
  <c r="W41" i="8" s="1"/>
  <c r="X41" i="8" s="1"/>
  <c r="O45" i="8" l="1"/>
  <c r="AD41" i="8"/>
  <c r="AE41" i="8" s="1"/>
  <c r="AA41" i="8"/>
  <c r="AC41" i="8" s="1"/>
  <c r="I47" i="8"/>
  <c r="J46" i="8"/>
  <c r="K46" i="8" s="1"/>
  <c r="L46" i="8" s="1"/>
  <c r="I122" i="8"/>
  <c r="J121" i="8"/>
  <c r="K121" i="8" s="1"/>
  <c r="L121" i="8" s="1"/>
  <c r="Q45" i="8" s="1"/>
  <c r="N45" i="8" s="1"/>
  <c r="U120" i="8"/>
  <c r="V119" i="8"/>
  <c r="W119" i="8" s="1"/>
  <c r="U43" i="8"/>
  <c r="V42" i="8"/>
  <c r="W42" i="8" s="1"/>
  <c r="X42" i="8" s="1"/>
  <c r="AD42" i="8" l="1"/>
  <c r="AE42" i="8" s="1"/>
  <c r="AA42" i="8"/>
  <c r="I48" i="8"/>
  <c r="J47" i="8"/>
  <c r="K47" i="8" s="1"/>
  <c r="L47" i="8" s="1"/>
  <c r="U121" i="8"/>
  <c r="V120" i="8"/>
  <c r="W120" i="8" s="1"/>
  <c r="I123" i="8"/>
  <c r="J122" i="8"/>
  <c r="K122" i="8" s="1"/>
  <c r="L122" i="8" s="1"/>
  <c r="Q46" i="8" s="1"/>
  <c r="N46" i="8" s="1"/>
  <c r="O46" i="8" s="1"/>
  <c r="U44" i="8"/>
  <c r="V43" i="8"/>
  <c r="W43" i="8" s="1"/>
  <c r="X43" i="8" s="1"/>
  <c r="Y43" i="8" s="1"/>
  <c r="AC42" i="8" l="1"/>
  <c r="AB7" i="8"/>
  <c r="Z43" i="8"/>
  <c r="AD43" i="8"/>
  <c r="AE43" i="8" s="1"/>
  <c r="AA43" i="8"/>
  <c r="AC43" i="8" s="1"/>
  <c r="I124" i="8"/>
  <c r="J123" i="8"/>
  <c r="K123" i="8" s="1"/>
  <c r="L123" i="8" s="1"/>
  <c r="Q47" i="8" s="1"/>
  <c r="N47" i="8" s="1"/>
  <c r="J48" i="8"/>
  <c r="K48" i="8" s="1"/>
  <c r="L48" i="8" s="1"/>
  <c r="I49" i="8"/>
  <c r="U122" i="8"/>
  <c r="V121" i="8"/>
  <c r="W121" i="8" s="1"/>
  <c r="U45" i="8"/>
  <c r="V44" i="8"/>
  <c r="W44" i="8" s="1"/>
  <c r="X44" i="8" s="1"/>
  <c r="Y44" i="8" s="1"/>
  <c r="Z44" i="8" s="1"/>
  <c r="O47" i="8" l="1"/>
  <c r="AD44" i="8"/>
  <c r="AE44" i="8" s="1"/>
  <c r="AA44" i="8"/>
  <c r="AC44" i="8" s="1"/>
  <c r="U123" i="8"/>
  <c r="V122" i="8"/>
  <c r="W122" i="8" s="1"/>
  <c r="I125" i="8"/>
  <c r="J124" i="8"/>
  <c r="K124" i="8" s="1"/>
  <c r="L124" i="8" s="1"/>
  <c r="Q48" i="8" s="1"/>
  <c r="N48" i="8" s="1"/>
  <c r="I50" i="8"/>
  <c r="J49" i="8"/>
  <c r="K49" i="8" s="1"/>
  <c r="L49" i="8" s="1"/>
  <c r="U46" i="8"/>
  <c r="V45" i="8"/>
  <c r="W45" i="8" s="1"/>
  <c r="X45" i="8" s="1"/>
  <c r="Y45" i="8" s="1"/>
  <c r="Z45" i="8" s="1"/>
  <c r="O48" i="8" l="1"/>
  <c r="AD45" i="8"/>
  <c r="AE45" i="8" s="1"/>
  <c r="AA45" i="8"/>
  <c r="AC45" i="8" s="1"/>
  <c r="J50" i="8"/>
  <c r="K50" i="8" s="1"/>
  <c r="L50" i="8" s="1"/>
  <c r="I51" i="8"/>
  <c r="I126" i="8"/>
  <c r="J125" i="8"/>
  <c r="K125" i="8" s="1"/>
  <c r="L125" i="8" s="1"/>
  <c r="Q49" i="8" s="1"/>
  <c r="N49" i="8" s="1"/>
  <c r="U124" i="8"/>
  <c r="V123" i="8"/>
  <c r="W123" i="8" s="1"/>
  <c r="U47" i="8"/>
  <c r="V46" i="8"/>
  <c r="W46" i="8" s="1"/>
  <c r="X46" i="8" s="1"/>
  <c r="Y46" i="8" s="1"/>
  <c r="O49" i="8" l="1"/>
  <c r="Z46" i="8"/>
  <c r="AD46" i="8"/>
  <c r="AE46" i="8" s="1"/>
  <c r="AA46" i="8"/>
  <c r="AC46" i="8" s="1"/>
  <c r="V124" i="8"/>
  <c r="W124" i="8" s="1"/>
  <c r="U125" i="8"/>
  <c r="V47" i="8"/>
  <c r="W47" i="8" s="1"/>
  <c r="X47" i="8" s="1"/>
  <c r="Y47" i="8" s="1"/>
  <c r="U48" i="8"/>
  <c r="I127" i="8"/>
  <c r="J126" i="8"/>
  <c r="K126" i="8" s="1"/>
  <c r="L126" i="8" s="1"/>
  <c r="Q50" i="8" s="1"/>
  <c r="N50" i="8" s="1"/>
  <c r="J51" i="8"/>
  <c r="K51" i="8" s="1"/>
  <c r="L51" i="8" s="1"/>
  <c r="I52" i="8"/>
  <c r="Z47" i="8" l="1"/>
  <c r="O50" i="8"/>
  <c r="AD47" i="8"/>
  <c r="AE47" i="8" s="1"/>
  <c r="AA47" i="8"/>
  <c r="AC47" i="8" s="1"/>
  <c r="V125" i="8"/>
  <c r="W125" i="8" s="1"/>
  <c r="U126" i="8"/>
  <c r="I128" i="8"/>
  <c r="J127" i="8"/>
  <c r="K127" i="8" s="1"/>
  <c r="L127" i="8" s="1"/>
  <c r="Q51" i="8" s="1"/>
  <c r="N51" i="8" s="1"/>
  <c r="I53" i="8"/>
  <c r="J52" i="8"/>
  <c r="K52" i="8" s="1"/>
  <c r="L52" i="8" s="1"/>
  <c r="U49" i="8"/>
  <c r="V48" i="8"/>
  <c r="W48" i="8" s="1"/>
  <c r="X48" i="8" s="1"/>
  <c r="Y48" i="8" s="1"/>
  <c r="Z48" i="8" s="1"/>
  <c r="O51" i="8" l="1"/>
  <c r="AD48" i="8"/>
  <c r="AE48" i="8" s="1"/>
  <c r="AA48" i="8"/>
  <c r="AC48" i="8" s="1"/>
  <c r="U127" i="8"/>
  <c r="V126" i="8"/>
  <c r="W126" i="8" s="1"/>
  <c r="U50" i="8"/>
  <c r="V49" i="8"/>
  <c r="W49" i="8" s="1"/>
  <c r="X49" i="8" s="1"/>
  <c r="Y49" i="8" s="1"/>
  <c r="I129" i="8"/>
  <c r="J128" i="8"/>
  <c r="K128" i="8" s="1"/>
  <c r="L128" i="8" s="1"/>
  <c r="Q52" i="8" s="1"/>
  <c r="N52" i="8" s="1"/>
  <c r="I54" i="8"/>
  <c r="J53" i="8"/>
  <c r="K53" i="8" s="1"/>
  <c r="L53" i="8" s="1"/>
  <c r="O52" i="8" l="1"/>
  <c r="Z49" i="8"/>
  <c r="AD49" i="8"/>
  <c r="AE49" i="8" s="1"/>
  <c r="AA49" i="8"/>
  <c r="AC49" i="8" s="1"/>
  <c r="U128" i="8"/>
  <c r="V127" i="8"/>
  <c r="W127" i="8" s="1"/>
  <c r="I130" i="8"/>
  <c r="J129" i="8"/>
  <c r="K129" i="8" s="1"/>
  <c r="L129" i="8" s="1"/>
  <c r="Q53" i="8" s="1"/>
  <c r="N53" i="8" s="1"/>
  <c r="O53" i="8" s="1"/>
  <c r="I55" i="8"/>
  <c r="J54" i="8"/>
  <c r="K54" i="8" s="1"/>
  <c r="L54" i="8" s="1"/>
  <c r="U51" i="8"/>
  <c r="V50" i="8"/>
  <c r="W50" i="8" s="1"/>
  <c r="X50" i="8" s="1"/>
  <c r="Y50" i="8" s="1"/>
  <c r="Z50" i="8" s="1"/>
  <c r="AD50" i="8" l="1"/>
  <c r="AE50" i="8" s="1"/>
  <c r="AA50" i="8"/>
  <c r="AC50" i="8" s="1"/>
  <c r="U129" i="8"/>
  <c r="V128" i="8"/>
  <c r="W128" i="8" s="1"/>
  <c r="U52" i="8"/>
  <c r="V51" i="8"/>
  <c r="W51" i="8" s="1"/>
  <c r="X51" i="8" s="1"/>
  <c r="Y51" i="8" s="1"/>
  <c r="I56" i="8"/>
  <c r="J55" i="8"/>
  <c r="K55" i="8" s="1"/>
  <c r="L55" i="8" s="1"/>
  <c r="I131" i="8"/>
  <c r="J130" i="8"/>
  <c r="K130" i="8" s="1"/>
  <c r="L130" i="8" s="1"/>
  <c r="Q54" i="8" s="1"/>
  <c r="N54" i="8" s="1"/>
  <c r="O54" i="8" l="1"/>
  <c r="Z51" i="8"/>
  <c r="AD51" i="8"/>
  <c r="AE51" i="8" s="1"/>
  <c r="AA51" i="8"/>
  <c r="AC51" i="8" s="1"/>
  <c r="U130" i="8"/>
  <c r="V129" i="8"/>
  <c r="W129" i="8" s="1"/>
  <c r="J56" i="8"/>
  <c r="K56" i="8" s="1"/>
  <c r="L56" i="8" s="1"/>
  <c r="I57" i="8"/>
  <c r="I132" i="8"/>
  <c r="J131" i="8"/>
  <c r="K131" i="8" s="1"/>
  <c r="L131" i="8" s="1"/>
  <c r="Q55" i="8" s="1"/>
  <c r="N55" i="8" s="1"/>
  <c r="U53" i="8"/>
  <c r="V52" i="8"/>
  <c r="W52" i="8" s="1"/>
  <c r="X52" i="8" s="1"/>
  <c r="Y52" i="8" s="1"/>
  <c r="Z52" i="8" s="1"/>
  <c r="P55" i="8" l="1"/>
  <c r="O55" i="8"/>
  <c r="P56" i="8"/>
  <c r="N56" i="8"/>
  <c r="O13" i="8"/>
  <c r="AD52" i="8"/>
  <c r="AE52" i="8" s="1"/>
  <c r="AA52" i="8"/>
  <c r="AC52" i="8" s="1"/>
  <c r="U131" i="8"/>
  <c r="V130" i="8"/>
  <c r="W130" i="8" s="1"/>
  <c r="J57" i="8"/>
  <c r="K57" i="8" s="1"/>
  <c r="L57" i="8" s="1"/>
  <c r="N57" i="8" s="1"/>
  <c r="I58" i="8"/>
  <c r="I133" i="8"/>
  <c r="J132" i="8"/>
  <c r="K132" i="8" s="1"/>
  <c r="L132" i="8" s="1"/>
  <c r="Q56" i="8" s="1"/>
  <c r="R42" i="8" s="1"/>
  <c r="U54" i="8"/>
  <c r="V53" i="8"/>
  <c r="W53" i="8" s="1"/>
  <c r="X53" i="8" s="1"/>
  <c r="Y53" i="8" s="1"/>
  <c r="Z53" i="8" s="1"/>
  <c r="O57" i="8" l="1"/>
  <c r="P57" i="8"/>
  <c r="O56" i="8"/>
  <c r="AD53" i="8"/>
  <c r="AE53" i="8" s="1"/>
  <c r="AA53" i="8"/>
  <c r="AC53" i="8" s="1"/>
  <c r="U132" i="8"/>
  <c r="V131" i="8"/>
  <c r="W131" i="8" s="1"/>
  <c r="J133" i="8"/>
  <c r="K133" i="8" s="1"/>
  <c r="L133" i="8" s="1"/>
  <c r="Q57" i="8" s="1"/>
  <c r="I134" i="8"/>
  <c r="I59" i="8"/>
  <c r="J58" i="8"/>
  <c r="K58" i="8" s="1"/>
  <c r="L58" i="8" s="1"/>
  <c r="N58" i="8" s="1"/>
  <c r="U55" i="8"/>
  <c r="V54" i="8"/>
  <c r="W54" i="8" s="1"/>
  <c r="X54" i="8" s="1"/>
  <c r="Y54" i="8" s="1"/>
  <c r="P58" i="8" l="1"/>
  <c r="Z54" i="8"/>
  <c r="AD54" i="8"/>
  <c r="AE54" i="8" s="1"/>
  <c r="AA54" i="8"/>
  <c r="AC54" i="8" s="1"/>
  <c r="U133" i="8"/>
  <c r="V132" i="8"/>
  <c r="W132" i="8" s="1"/>
  <c r="J134" i="8"/>
  <c r="K134" i="8" s="1"/>
  <c r="L134" i="8" s="1"/>
  <c r="Q58" i="8" s="1"/>
  <c r="I135" i="8"/>
  <c r="I60" i="8"/>
  <c r="J59" i="8"/>
  <c r="K59" i="8" s="1"/>
  <c r="L59" i="8" s="1"/>
  <c r="N59" i="8" s="1"/>
  <c r="U56" i="8"/>
  <c r="V55" i="8"/>
  <c r="W55" i="8" s="1"/>
  <c r="X55" i="8" s="1"/>
  <c r="P59" i="8" l="1"/>
  <c r="Y55" i="8"/>
  <c r="AD55" i="8"/>
  <c r="AE55" i="8" s="1"/>
  <c r="AA55" i="8"/>
  <c r="AC55" i="8" s="1"/>
  <c r="U134" i="8"/>
  <c r="V133" i="8"/>
  <c r="W133" i="8" s="1"/>
  <c r="V56" i="8"/>
  <c r="W56" i="8" s="1"/>
  <c r="X56" i="8" s="1"/>
  <c r="Y56" i="8" s="1"/>
  <c r="U57" i="8"/>
  <c r="J60" i="8"/>
  <c r="K60" i="8" s="1"/>
  <c r="L60" i="8" s="1"/>
  <c r="N60" i="8" s="1"/>
  <c r="I61" i="8"/>
  <c r="I136" i="8"/>
  <c r="J135" i="8"/>
  <c r="K135" i="8" s="1"/>
  <c r="L135" i="8" s="1"/>
  <c r="Q59" i="8" s="1"/>
  <c r="Z56" i="8" l="1"/>
  <c r="Z55" i="8"/>
  <c r="P60" i="8"/>
  <c r="AD56" i="8"/>
  <c r="AE56" i="8" s="1"/>
  <c r="AA56" i="8"/>
  <c r="U135" i="8"/>
  <c r="V134" i="8"/>
  <c r="W134" i="8" s="1"/>
  <c r="U58" i="8"/>
  <c r="V57" i="8"/>
  <c r="W57" i="8" s="1"/>
  <c r="X57" i="8" s="1"/>
  <c r="Y57" i="8" s="1"/>
  <c r="I137" i="8"/>
  <c r="J136" i="8"/>
  <c r="K136" i="8" s="1"/>
  <c r="L136" i="8" s="1"/>
  <c r="Q60" i="8" s="1"/>
  <c r="I62" i="8"/>
  <c r="J61" i="8"/>
  <c r="K61" i="8" s="1"/>
  <c r="L61" i="8" s="1"/>
  <c r="N61" i="8" s="1"/>
  <c r="AC56" i="8" l="1"/>
  <c r="AB42" i="8"/>
  <c r="P61" i="8"/>
  <c r="AD57" i="8"/>
  <c r="AE57" i="8" s="1"/>
  <c r="AA57" i="8"/>
  <c r="AC57" i="8" s="1"/>
  <c r="U136" i="8"/>
  <c r="V135" i="8"/>
  <c r="W135" i="8" s="1"/>
  <c r="U59" i="8"/>
  <c r="V58" i="8"/>
  <c r="W58" i="8" s="1"/>
  <c r="X58" i="8" s="1"/>
  <c r="I63" i="8"/>
  <c r="J62" i="8"/>
  <c r="K62" i="8" s="1"/>
  <c r="L62" i="8" s="1"/>
  <c r="N62" i="8" s="1"/>
  <c r="I138" i="8"/>
  <c r="J137" i="8"/>
  <c r="K137" i="8" s="1"/>
  <c r="L137" i="8" s="1"/>
  <c r="Q61" i="8" s="1"/>
  <c r="P62" i="8" l="1"/>
  <c r="Y58" i="8"/>
  <c r="AD58" i="8"/>
  <c r="AE58" i="8" s="1"/>
  <c r="AA58" i="8"/>
  <c r="AC58" i="8" s="1"/>
  <c r="U137" i="8"/>
  <c r="V136" i="8"/>
  <c r="W136" i="8" s="1"/>
  <c r="V59" i="8"/>
  <c r="W59" i="8" s="1"/>
  <c r="X59" i="8" s="1"/>
  <c r="Y59" i="8" s="1"/>
  <c r="U60" i="8"/>
  <c r="I139" i="8"/>
  <c r="J138" i="8"/>
  <c r="K138" i="8" s="1"/>
  <c r="L138" i="8" s="1"/>
  <c r="Q62" i="8" s="1"/>
  <c r="I64" i="8"/>
  <c r="J63" i="8"/>
  <c r="K63" i="8" s="1"/>
  <c r="L63" i="8" s="1"/>
  <c r="N63" i="8" s="1"/>
  <c r="P63" i="8" s="1"/>
  <c r="Z58" i="8" l="1"/>
  <c r="Z59" i="8"/>
  <c r="AD59" i="8"/>
  <c r="AE59" i="8" s="1"/>
  <c r="AA59" i="8"/>
  <c r="AC59" i="8" s="1"/>
  <c r="U138" i="8"/>
  <c r="V137" i="8"/>
  <c r="W137" i="8" s="1"/>
  <c r="J64" i="8"/>
  <c r="K64" i="8" s="1"/>
  <c r="L64" i="8" s="1"/>
  <c r="N64" i="8" s="1"/>
  <c r="P64" i="8" s="1"/>
  <c r="I65" i="8"/>
  <c r="U61" i="8"/>
  <c r="V60" i="8"/>
  <c r="W60" i="8" s="1"/>
  <c r="X60" i="8" s="1"/>
  <c r="Y60" i="8" s="1"/>
  <c r="I140" i="8"/>
  <c r="J139" i="8"/>
  <c r="K139" i="8" s="1"/>
  <c r="L139" i="8" s="1"/>
  <c r="Q63" i="8" s="1"/>
  <c r="Z60" i="8" l="1"/>
  <c r="AD60" i="8"/>
  <c r="AE60" i="8" s="1"/>
  <c r="AA60" i="8"/>
  <c r="AC60" i="8" s="1"/>
  <c r="U139" i="8"/>
  <c r="V138" i="8"/>
  <c r="W138" i="8" s="1"/>
  <c r="I66" i="8"/>
  <c r="J65" i="8"/>
  <c r="K65" i="8" s="1"/>
  <c r="L65" i="8" s="1"/>
  <c r="N65" i="8" s="1"/>
  <c r="P65" i="8" s="1"/>
  <c r="U62" i="8"/>
  <c r="V61" i="8"/>
  <c r="W61" i="8" s="1"/>
  <c r="X61" i="8" s="1"/>
  <c r="Y61" i="8" s="1"/>
  <c r="I141" i="8"/>
  <c r="J140" i="8"/>
  <c r="K140" i="8" s="1"/>
  <c r="L140" i="8" s="1"/>
  <c r="Q64" i="8" s="1"/>
  <c r="Z61" i="8" l="1"/>
  <c r="AD61" i="8"/>
  <c r="AE61" i="8" s="1"/>
  <c r="AA61" i="8"/>
  <c r="AC61" i="8" s="1"/>
  <c r="J141" i="8"/>
  <c r="K141" i="8" s="1"/>
  <c r="L141" i="8" s="1"/>
  <c r="Q65" i="8" s="1"/>
  <c r="I142" i="8"/>
  <c r="U140" i="8"/>
  <c r="V139" i="8"/>
  <c r="W139" i="8" s="1"/>
  <c r="J66" i="8"/>
  <c r="K66" i="8" s="1"/>
  <c r="L66" i="8" s="1"/>
  <c r="N66" i="8" s="1"/>
  <c r="P66" i="8" s="1"/>
  <c r="I67" i="8"/>
  <c r="V62" i="8"/>
  <c r="W62" i="8" s="1"/>
  <c r="X62" i="8" s="1"/>
  <c r="Y62" i="8" s="1"/>
  <c r="Z62" i="8" s="1"/>
  <c r="U63" i="8"/>
  <c r="AD62" i="8" l="1"/>
  <c r="AE62" i="8" s="1"/>
  <c r="AA62" i="8"/>
  <c r="AC62" i="8" s="1"/>
  <c r="U141" i="8"/>
  <c r="V140" i="8"/>
  <c r="W140" i="8" s="1"/>
  <c r="I143" i="8"/>
  <c r="J142" i="8"/>
  <c r="K142" i="8" s="1"/>
  <c r="L142" i="8" s="1"/>
  <c r="Q66" i="8" s="1"/>
  <c r="I68" i="8"/>
  <c r="J67" i="8"/>
  <c r="K67" i="8" s="1"/>
  <c r="L67" i="8" s="1"/>
  <c r="V63" i="8"/>
  <c r="W63" i="8" s="1"/>
  <c r="X63" i="8" s="1"/>
  <c r="Y63" i="8" s="1"/>
  <c r="U64" i="8"/>
  <c r="N67" i="8" l="1"/>
  <c r="P67" i="8" s="1"/>
  <c r="Z63" i="8"/>
  <c r="AD63" i="8"/>
  <c r="AE63" i="8" s="1"/>
  <c r="AA63" i="8"/>
  <c r="AC63" i="8" s="1"/>
  <c r="J143" i="8"/>
  <c r="K143" i="8" s="1"/>
  <c r="L143" i="8" s="1"/>
  <c r="Q67" i="8" s="1"/>
  <c r="I144" i="8"/>
  <c r="I75" i="8"/>
  <c r="I69" i="8"/>
  <c r="J68" i="8"/>
  <c r="K68" i="8" s="1"/>
  <c r="L68" i="8" s="1"/>
  <c r="N68" i="8" s="1"/>
  <c r="P68" i="8" s="1"/>
  <c r="V141" i="8"/>
  <c r="W141" i="8" s="1"/>
  <c r="U142" i="8"/>
  <c r="U65" i="8"/>
  <c r="V64" i="8"/>
  <c r="W64" i="8" s="1"/>
  <c r="X64" i="8" s="1"/>
  <c r="Y64" i="8" s="1"/>
  <c r="Z64" i="8" s="1"/>
  <c r="AD64" i="8" l="1"/>
  <c r="AE64" i="8" s="1"/>
  <c r="AA64" i="8"/>
  <c r="AC64" i="8" s="1"/>
  <c r="V142" i="8"/>
  <c r="W142" i="8" s="1"/>
  <c r="U143" i="8"/>
  <c r="I145" i="8"/>
  <c r="J144" i="8"/>
  <c r="K144" i="8" s="1"/>
  <c r="L144" i="8" s="1"/>
  <c r="Q68" i="8" s="1"/>
  <c r="I70" i="8"/>
  <c r="J70" i="8" s="1"/>
  <c r="K70" i="8" s="1"/>
  <c r="L70" i="8" s="1"/>
  <c r="J69" i="8"/>
  <c r="K69" i="8" s="1"/>
  <c r="L69" i="8" s="1"/>
  <c r="V65" i="8"/>
  <c r="W65" i="8" s="1"/>
  <c r="X65" i="8" s="1"/>
  <c r="Y65" i="8" s="1"/>
  <c r="U66" i="8"/>
  <c r="N70" i="8" l="1"/>
  <c r="N69" i="8"/>
  <c r="N71" i="8"/>
  <c r="O14" i="8"/>
  <c r="Z65" i="8"/>
  <c r="AD65" i="8"/>
  <c r="AE65" i="8" s="1"/>
  <c r="AA65" i="8"/>
  <c r="AC65" i="8" s="1"/>
  <c r="I146" i="8"/>
  <c r="J145" i="8"/>
  <c r="K145" i="8" s="1"/>
  <c r="L145" i="8" s="1"/>
  <c r="Q69" i="8" s="1"/>
  <c r="U144" i="8"/>
  <c r="V143" i="8"/>
  <c r="W143" i="8" s="1"/>
  <c r="V66" i="8"/>
  <c r="W66" i="8" s="1"/>
  <c r="X66" i="8" s="1"/>
  <c r="Y66" i="8" s="1"/>
  <c r="U67" i="8"/>
  <c r="P71" i="8" l="1"/>
  <c r="P70" i="8"/>
  <c r="P69" i="8"/>
  <c r="Z66" i="8"/>
  <c r="AD66" i="8"/>
  <c r="AE66" i="8" s="1"/>
  <c r="AA66" i="8"/>
  <c r="AC66" i="8" s="1"/>
  <c r="U145" i="8"/>
  <c r="V144" i="8"/>
  <c r="W144" i="8" s="1"/>
  <c r="I147" i="8"/>
  <c r="J146" i="8"/>
  <c r="K146" i="8" s="1"/>
  <c r="L146" i="8" s="1"/>
  <c r="Q70" i="8" s="1"/>
  <c r="U68" i="8"/>
  <c r="V67" i="8"/>
  <c r="W67" i="8" s="1"/>
  <c r="X67" i="8" s="1"/>
  <c r="Y67" i="8" s="1"/>
  <c r="Z67" i="8" s="1"/>
  <c r="AD67" i="8" l="1"/>
  <c r="AE67" i="8" s="1"/>
  <c r="AA67" i="8"/>
  <c r="AC67" i="8" s="1"/>
  <c r="I148" i="8"/>
  <c r="J148" i="8" s="1"/>
  <c r="K148" i="8" s="1"/>
  <c r="L148" i="8" s="1"/>
  <c r="J147" i="8"/>
  <c r="K147" i="8" s="1"/>
  <c r="L147" i="8" s="1"/>
  <c r="U146" i="8"/>
  <c r="V146" i="8" s="1"/>
  <c r="W146" i="8" s="1"/>
  <c r="V145" i="8"/>
  <c r="W145" i="8" s="1"/>
  <c r="U69" i="8"/>
  <c r="V68" i="8"/>
  <c r="W68" i="8" s="1"/>
  <c r="X68" i="8" s="1"/>
  <c r="Y68" i="8" s="1"/>
  <c r="Z68" i="8" l="1"/>
  <c r="AD68" i="8"/>
  <c r="AE68" i="8" s="1"/>
  <c r="AA68" i="8"/>
  <c r="AC68" i="8" s="1"/>
  <c r="U70" i="8"/>
  <c r="V70" i="8" s="1"/>
  <c r="W70" i="8" s="1"/>
  <c r="X70" i="8" s="1"/>
  <c r="V69" i="8"/>
  <c r="W69" i="8" s="1"/>
  <c r="X69" i="8" s="1"/>
  <c r="Y69" i="8" s="1"/>
  <c r="Y70" i="8" l="1"/>
  <c r="Z70" i="8" s="1"/>
  <c r="Z69" i="8"/>
  <c r="AD69" i="8"/>
  <c r="AE69" i="8" s="1"/>
  <c r="AA69" i="8"/>
  <c r="AC69" i="8" s="1"/>
  <c r="AD70" i="8"/>
  <c r="AE70" i="8" s="1"/>
  <c r="AA70" i="8"/>
  <c r="AC70" i="8" l="1"/>
  <c r="AB56" i="8"/>
  <c r="A3" i="5" l="1"/>
</calcChain>
</file>

<file path=xl/sharedStrings.xml><?xml version="1.0" encoding="utf-8"?>
<sst xmlns="http://schemas.openxmlformats.org/spreadsheetml/2006/main" count="610" uniqueCount="223">
  <si>
    <t>TEMPERATURA 37</t>
  </si>
  <si>
    <t xml:space="preserve">CORRIDA EXPERIMENTAL  </t>
  </si>
  <si>
    <t>MEZCLA 1</t>
  </si>
  <si>
    <t>Reactor 1 20 L</t>
  </si>
  <si>
    <t>60% LODO RESIDUAL</t>
  </si>
  <si>
    <t>12 LITROS</t>
  </si>
  <si>
    <t>20% RESIDUOS DE MANGO</t>
  </si>
  <si>
    <t>4 KG</t>
  </si>
  <si>
    <t>10% ESTIERCOL VACUNO</t>
  </si>
  <si>
    <t>2 KG</t>
  </si>
  <si>
    <t>10% INOCULO</t>
  </si>
  <si>
    <t>2 LTS</t>
  </si>
  <si>
    <t>CARACTERIZACIÓN DE SUSTRATOS Y MEZCLAS CORRIDA 3 (SÓLIDOS TOTALES Y SÓLIDOS VOLÁTILES)</t>
  </si>
  <si>
    <t>mg/kg SV</t>
  </si>
  <si>
    <t xml:space="preserve">PROMEDIO SV (mg/kg) </t>
  </si>
  <si>
    <t>FECHA</t>
  </si>
  <si>
    <t>CÁPSULA</t>
  </si>
  <si>
    <t>PESO 1 (CÁPSULA)</t>
  </si>
  <si>
    <t>PESO 2 (P. HÚMEDO)</t>
  </si>
  <si>
    <t>PESO 3 (ESTUFA)</t>
  </si>
  <si>
    <t>PESO 4 (MUFLA)</t>
  </si>
  <si>
    <t>PESO MUESTRA</t>
  </si>
  <si>
    <t>PESO SECO</t>
  </si>
  <si>
    <t>%ST</t>
  </si>
  <si>
    <t>PESO VOLATILIZADO</t>
  </si>
  <si>
    <t>%SV</t>
  </si>
  <si>
    <t>PROMEDIO %ST</t>
  </si>
  <si>
    <t>PROMEDIO %SV</t>
  </si>
  <si>
    <t>RESIDUOS SÓLIDOS DE MANGO (RSM)</t>
  </si>
  <si>
    <t>M/21</t>
  </si>
  <si>
    <t>E</t>
  </si>
  <si>
    <t>B07</t>
  </si>
  <si>
    <t>LODOS RESIDUAL (LR)</t>
  </si>
  <si>
    <t>F/09</t>
  </si>
  <si>
    <t>ESTIERCOL VACUNO (EV)</t>
  </si>
  <si>
    <t>EI</t>
  </si>
  <si>
    <t>E7</t>
  </si>
  <si>
    <t xml:space="preserve">INÓCULO </t>
  </si>
  <si>
    <t>MEZCLA  REACTOR 1</t>
  </si>
  <si>
    <t>HOM</t>
  </si>
  <si>
    <t>HV</t>
  </si>
  <si>
    <t>MEZCLA REACTOR  2</t>
  </si>
  <si>
    <t>HOMERO</t>
  </si>
  <si>
    <t>M/23</t>
  </si>
  <si>
    <t>pH SUSTRATOS</t>
  </si>
  <si>
    <t>pH</t>
  </si>
  <si>
    <t>Promedio pH</t>
  </si>
  <si>
    <t>LODOS RESIDUALES (LR)</t>
  </si>
  <si>
    <t>INÓCULO</t>
  </si>
  <si>
    <t>Redox y Conductividad</t>
  </si>
  <si>
    <t>REDOX (mV)</t>
  </si>
  <si>
    <t>CONDUCTIVIDAD (mS/cm)</t>
  </si>
  <si>
    <t>PROMEDIO REDOX</t>
  </si>
  <si>
    <t>PROMEDIO CONDUCTIVIDAD</t>
  </si>
  <si>
    <t>ESTIERCOL VACUNO</t>
  </si>
  <si>
    <t>Reactor  1</t>
  </si>
  <si>
    <t>Reactor 2</t>
  </si>
  <si>
    <t>DÍA</t>
  </si>
  <si>
    <t>pH Inicial</t>
  </si>
  <si>
    <t>pH Final</t>
  </si>
  <si>
    <t>Promedio</t>
  </si>
  <si>
    <t>Muestra 2</t>
  </si>
  <si>
    <t>Muestra 1</t>
  </si>
  <si>
    <t xml:space="preserve">Muestra 1 </t>
  </si>
  <si>
    <t>Reactor 1</t>
  </si>
  <si>
    <t>Conductividad electrica</t>
  </si>
  <si>
    <t>%CO2</t>
  </si>
  <si>
    <t>% CH4</t>
  </si>
  <si>
    <t>mg/L ST</t>
  </si>
  <si>
    <t>mg/L SV</t>
  </si>
  <si>
    <t xml:space="preserve">Promedio de </t>
  </si>
  <si>
    <t>PROMEDIO ST (mg/L)</t>
  </si>
  <si>
    <t xml:space="preserve">PROMEDIO SV (mg/L y g/L) </t>
  </si>
  <si>
    <t>DESV. ESTÁDAR % ST</t>
  </si>
  <si>
    <t>DESV. ESTÁDAR % SV</t>
  </si>
  <si>
    <t>DESV. ESTÁDAR SV (mg/L)</t>
  </si>
  <si>
    <t>Ml /L SV</t>
  </si>
  <si>
    <t>gr/L SV</t>
  </si>
  <si>
    <t>gr/LSV</t>
  </si>
  <si>
    <t>Hom</t>
  </si>
  <si>
    <t>M23</t>
  </si>
  <si>
    <t>*</t>
  </si>
  <si>
    <t>**</t>
  </si>
  <si>
    <t>M43</t>
  </si>
  <si>
    <t>XX</t>
  </si>
  <si>
    <t>A3</t>
  </si>
  <si>
    <t>6X</t>
  </si>
  <si>
    <t>A5</t>
  </si>
  <si>
    <t>Hv</t>
  </si>
  <si>
    <t>Homero</t>
  </si>
  <si>
    <t>POTENCIAL REDOX (mV)</t>
  </si>
  <si>
    <t>A1</t>
  </si>
  <si>
    <t>4X</t>
  </si>
  <si>
    <t>E1</t>
  </si>
  <si>
    <t>4*</t>
  </si>
  <si>
    <t>Q</t>
  </si>
  <si>
    <t>6*</t>
  </si>
  <si>
    <t>X?</t>
  </si>
  <si>
    <t>W</t>
  </si>
  <si>
    <t>ANÁLISIS DE BIOGÁS</t>
  </si>
  <si>
    <t xml:space="preserve">TEMP. AMBIENTAL (˚C) </t>
  </si>
  <si>
    <t>PRESIÓN ATM. (mmHg)</t>
  </si>
  <si>
    <t>LECTURA MEDIDOR INICIAL (L)</t>
  </si>
  <si>
    <t>LECTURA MEDIDOR FINAL (L)</t>
  </si>
  <si>
    <t>FLUJO REAL (L) DE UN DÍA A OTRO</t>
  </si>
  <si>
    <t>L BIOGÁS ACUMULADO</t>
  </si>
  <si>
    <t>mL BIOGÁS ACUMULADO</t>
  </si>
  <si>
    <t>mL BIOGÁS ACUMULADOS CORREGIDOS</t>
  </si>
  <si>
    <t>L BIOGÁS ACUMULADO CORREGIDO</t>
  </si>
  <si>
    <t>mL CH4</t>
  </si>
  <si>
    <t xml:space="preserve">mL CH4 ACUMULADOS </t>
  </si>
  <si>
    <t>mL CH4 ACUMULADOS CORREGIDOS</t>
  </si>
  <si>
    <t>L CH4 ACUMULADOS CORREGIDOS</t>
  </si>
  <si>
    <t>%O2</t>
  </si>
  <si>
    <t>%BAL</t>
  </si>
  <si>
    <t>H2S (ppm)</t>
  </si>
  <si>
    <t>TOTAL (%)</t>
  </si>
  <si>
    <t>&gt;&gt;&gt;</t>
  </si>
  <si>
    <t>Dia</t>
  </si>
  <si>
    <t>EF</t>
  </si>
  <si>
    <t>2A</t>
  </si>
  <si>
    <t>F</t>
  </si>
  <si>
    <t>f</t>
  </si>
  <si>
    <t>E?</t>
  </si>
  <si>
    <t>RR</t>
  </si>
  <si>
    <t>A7</t>
  </si>
  <si>
    <t>EP</t>
  </si>
  <si>
    <t>F09</t>
  </si>
  <si>
    <t>TT</t>
  </si>
  <si>
    <t>R</t>
  </si>
  <si>
    <t>P</t>
  </si>
  <si>
    <t>F/01</t>
  </si>
  <si>
    <t>H8</t>
  </si>
  <si>
    <t>B</t>
  </si>
  <si>
    <t>F/4</t>
  </si>
  <si>
    <t>Z</t>
  </si>
  <si>
    <t>B/07</t>
  </si>
  <si>
    <t>F.</t>
  </si>
  <si>
    <t>Mezcla</t>
  </si>
  <si>
    <t>Prueba del reactor</t>
  </si>
  <si>
    <t>f/4</t>
  </si>
  <si>
    <t>HI</t>
  </si>
  <si>
    <t>XP</t>
  </si>
  <si>
    <t>C</t>
  </si>
  <si>
    <t>Calidad de biogas</t>
  </si>
  <si>
    <t xml:space="preserve">Reactor 1 </t>
  </si>
  <si>
    <t>Cantidad de biogas</t>
  </si>
  <si>
    <t>1.4 lts</t>
  </si>
  <si>
    <t>1.6 ITS</t>
  </si>
  <si>
    <t xml:space="preserve">Alcalinidad total (mg CaCO3/ L) 
</t>
  </si>
  <si>
    <t xml:space="preserve">Fecha </t>
  </si>
  <si>
    <t xml:space="preserve">Dia </t>
  </si>
  <si>
    <t>SVgr/L</t>
  </si>
  <si>
    <t>Cantidad x dia agregada</t>
  </si>
  <si>
    <t>Cantidad x dia agregada ml</t>
  </si>
  <si>
    <t>Fecha</t>
  </si>
  <si>
    <t>F/04</t>
  </si>
  <si>
    <t>F4</t>
  </si>
  <si>
    <t>F/</t>
  </si>
  <si>
    <t>Y</t>
  </si>
  <si>
    <t>HP</t>
  </si>
  <si>
    <t>P/08</t>
  </si>
  <si>
    <t>ZP</t>
  </si>
  <si>
    <t>XA</t>
  </si>
  <si>
    <t>HH</t>
  </si>
  <si>
    <t>K</t>
  </si>
  <si>
    <t>RP</t>
  </si>
  <si>
    <t>K1</t>
  </si>
  <si>
    <t>PY</t>
  </si>
  <si>
    <t>*A</t>
  </si>
  <si>
    <t>Carga orgánica media</t>
  </si>
  <si>
    <t>Carga orgánica alta</t>
  </si>
  <si>
    <t>Dilucion</t>
  </si>
  <si>
    <t>Rabano</t>
  </si>
  <si>
    <t>Lechuga</t>
  </si>
  <si>
    <t>Rábano</t>
  </si>
  <si>
    <t>R 1/1</t>
  </si>
  <si>
    <t>R 1/10</t>
  </si>
  <si>
    <t>R 1/20</t>
  </si>
  <si>
    <t>Testigo</t>
  </si>
  <si>
    <t xml:space="preserve"> Rabano</t>
  </si>
  <si>
    <t>Parámetros</t>
  </si>
  <si>
    <t>LR</t>
  </si>
  <si>
    <t>RSM</t>
  </si>
  <si>
    <t>EV</t>
  </si>
  <si>
    <t>Inoculo</t>
  </si>
  <si>
    <t>Mezcla 1 Reactor 1</t>
  </si>
  <si>
    <t>Mezcla 2 Reactor 2</t>
  </si>
  <si>
    <t>% ST</t>
  </si>
  <si>
    <t>% SV</t>
  </si>
  <si>
    <t>pH inicial</t>
  </si>
  <si>
    <t>Redox (mV)</t>
  </si>
  <si>
    <t>C.E (mS/cm)</t>
  </si>
  <si>
    <t xml:space="preserve">Alcalinidad (mg CaCO3/ L) </t>
  </si>
  <si>
    <t>-</t>
  </si>
  <si>
    <t>Ph ajustado al inicio con solución de NaOH 5M</t>
  </si>
  <si>
    <t>Reactor 1 se agrego 200ml de NaOH para un pH 7.1</t>
  </si>
  <si>
    <t>Reactor 2 se agrego 220ml de NaOH para un pH 7.1</t>
  </si>
  <si>
    <t>LR: Lodo residual</t>
  </si>
  <si>
    <t>RSM: Residuos solidos de mango</t>
  </si>
  <si>
    <t>EV: Estiércol Vacuno</t>
  </si>
  <si>
    <t>Promedio de 1  y 2 re</t>
  </si>
  <si>
    <t>Promedio de 1 y 2 ractores</t>
  </si>
  <si>
    <t xml:space="preserve">Promedio de 1 y 2 </t>
  </si>
  <si>
    <t>gr/lsv</t>
  </si>
  <si>
    <t>Promedio 1 y 2</t>
  </si>
  <si>
    <t>Desviacion</t>
  </si>
  <si>
    <t>=</t>
  </si>
  <si>
    <t>f140</t>
  </si>
  <si>
    <t>pH 5,7
V1 (mL)</t>
  </si>
  <si>
    <t>Média V1 (mL)</t>
  </si>
  <si>
    <t>pH 4,5 V2 (mL)</t>
  </si>
  <si>
    <t>Média V2 (mL)</t>
  </si>
  <si>
    <t>AP 
pH 5,7 (CaCO3 mg/L)</t>
  </si>
  <si>
    <t>AI 
pH 4,5 (CaCO3 mg/L)</t>
  </si>
  <si>
    <t>Média AI</t>
  </si>
  <si>
    <t>AT (CaCO3 mg/L)</t>
  </si>
  <si>
    <t>Volumen de la muestra (mL)</t>
  </si>
  <si>
    <t>Normalidadel acido H2SO4 (N)</t>
  </si>
  <si>
    <t>Suma de média de V1 y V2</t>
  </si>
  <si>
    <t>Média Alcalinida   de Parcial</t>
  </si>
  <si>
    <t>Média Alcalinidad total</t>
  </si>
  <si>
    <r>
      <rPr>
        <b/>
        <sz val="18"/>
        <color theme="1"/>
        <rFont val="Calibri"/>
        <family val="2"/>
        <scheme val="minor"/>
      </rPr>
      <t>Mezcla</t>
    </r>
    <r>
      <rPr>
        <sz val="18"/>
        <color theme="1"/>
        <rFont val="Calibri"/>
        <family val="2"/>
        <scheme val="minor"/>
      </rPr>
      <t xml:space="preserve"> reactor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</si>
</sst>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* #,##0.000_-;\-* #,##0.000_-;_-* &quot;-&quot;??_-;_-@_-"/>
    <numFmt numFmtId="166" formatCode="0.000"/>
    <numFmt numFmtId="167" formatCode="0.0000"/>
    <numFmt numFmtId="168" formatCode="#,##0.0000"/>
    <numFmt numFmtId="169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000000"/>
      <name val="Century Gothic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2" fontId="3" fillId="0" borderId="0" xfId="0" applyNumberFormat="1" applyFont="1"/>
    <xf numFmtId="43" fontId="0" fillId="0" borderId="0" xfId="0" applyNumberFormat="1"/>
    <xf numFmtId="2" fontId="0" fillId="0" borderId="0" xfId="0" applyNumberFormat="1"/>
    <xf numFmtId="165" fontId="0" fillId="0" borderId="0" xfId="0" applyNumberFormat="1"/>
    <xf numFmtId="0" fontId="3" fillId="5" borderId="0" xfId="0" applyFont="1" applyFill="1"/>
    <xf numFmtId="0" fontId="0" fillId="5" borderId="0" xfId="0" applyFill="1"/>
    <xf numFmtId="164" fontId="0" fillId="5" borderId="0" xfId="0" applyNumberFormat="1" applyFill="1"/>
    <xf numFmtId="164" fontId="3" fillId="5" borderId="0" xfId="0" applyNumberFormat="1" applyFont="1" applyFill="1"/>
    <xf numFmtId="0" fontId="3" fillId="6" borderId="0" xfId="0" applyFont="1" applyFill="1"/>
    <xf numFmtId="0" fontId="0" fillId="6" borderId="0" xfId="0" applyFill="1"/>
    <xf numFmtId="164" fontId="0" fillId="6" borderId="0" xfId="0" applyNumberFormat="1" applyFill="1"/>
    <xf numFmtId="164" fontId="3" fillId="6" borderId="0" xfId="0" applyNumberFormat="1" applyFont="1" applyFill="1"/>
    <xf numFmtId="0" fontId="3" fillId="0" borderId="0" xfId="0" applyFont="1" applyAlignment="1">
      <alignment horizontal="center"/>
    </xf>
    <xf numFmtId="0" fontId="3" fillId="4" borderId="0" xfId="0" applyFont="1" applyFill="1"/>
    <xf numFmtId="0" fontId="3" fillId="0" borderId="0" xfId="0" applyFont="1" applyAlignment="1">
      <alignment horizontal="center" vertical="center"/>
    </xf>
    <xf numFmtId="166" fontId="0" fillId="0" borderId="0" xfId="0" applyNumberFormat="1"/>
    <xf numFmtId="0" fontId="0" fillId="0" borderId="0" xfId="0" applyAlignment="1">
      <alignment horizontal="center"/>
    </xf>
    <xf numFmtId="0" fontId="3" fillId="8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4" fontId="0" fillId="0" borderId="0" xfId="0" applyNumberFormat="1"/>
    <xf numFmtId="2" fontId="3" fillId="4" borderId="0" xfId="0" applyNumberFormat="1" applyFont="1" applyFill="1"/>
    <xf numFmtId="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4" borderId="0" xfId="0" applyFill="1"/>
    <xf numFmtId="0" fontId="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9" fontId="10" fillId="0" borderId="6" xfId="0" applyNumberFormat="1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2" fillId="0" borderId="10" xfId="0" applyFont="1" applyBorder="1" applyAlignment="1">
      <alignment horizontal="center" vertical="center" wrapText="1" readingOrder="1"/>
    </xf>
    <xf numFmtId="3" fontId="12" fillId="0" borderId="10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2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9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11" xfId="0" applyFont="1" applyBorder="1" applyAlignment="1">
      <alignment horizontal="justify" vertical="center" wrapText="1" readingOrder="1"/>
    </xf>
    <xf numFmtId="0" fontId="12" fillId="0" borderId="12" xfId="0" applyFont="1" applyBorder="1" applyAlignment="1">
      <alignment horizontal="justify" vertical="center" wrapText="1" readingOrder="1"/>
    </xf>
    <xf numFmtId="0" fontId="12" fillId="0" borderId="13" xfId="0" applyFont="1" applyBorder="1" applyAlignment="1">
      <alignment horizontal="justify" vertical="center" wrapText="1" readingOrder="1"/>
    </xf>
    <xf numFmtId="0" fontId="12" fillId="0" borderId="14" xfId="0" applyFont="1" applyBorder="1" applyAlignment="1">
      <alignment horizontal="justify" vertical="center" wrapText="1" readingOrder="1"/>
    </xf>
    <xf numFmtId="0" fontId="12" fillId="0" borderId="0" xfId="0" applyFont="1" applyAlignment="1">
      <alignment horizontal="justify" vertical="center" wrapText="1" readingOrder="1"/>
    </xf>
    <xf numFmtId="0" fontId="12" fillId="0" borderId="15" xfId="0" applyFont="1" applyBorder="1" applyAlignment="1">
      <alignment horizontal="justify" vertical="center" wrapText="1" readingOrder="1"/>
    </xf>
    <xf numFmtId="0" fontId="12" fillId="0" borderId="16" xfId="0" applyFont="1" applyBorder="1" applyAlignment="1">
      <alignment horizontal="justify" vertical="center" wrapText="1" readingOrder="1"/>
    </xf>
    <xf numFmtId="0" fontId="12" fillId="0" borderId="17" xfId="0" applyFont="1" applyBorder="1" applyAlignment="1">
      <alignment horizontal="justify" vertical="center" wrapText="1" readingOrder="1"/>
    </xf>
    <xf numFmtId="0" fontId="12" fillId="0" borderId="18" xfId="0" applyFont="1" applyBorder="1" applyAlignment="1">
      <alignment horizontal="justify" vertical="center" wrapText="1" readingOrder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4" fontId="8" fillId="0" borderId="0" xfId="0" applyNumberFormat="1" applyFont="1"/>
    <xf numFmtId="0" fontId="8" fillId="0" borderId="0" xfId="1" applyNumberFormat="1" applyFont="1"/>
    <xf numFmtId="0" fontId="7" fillId="0" borderId="0" xfId="0" applyFont="1"/>
    <xf numFmtId="0" fontId="7" fillId="1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2" fontId="8" fillId="0" borderId="0" xfId="0" applyNumberFormat="1" applyFont="1"/>
    <xf numFmtId="169" fontId="8" fillId="0" borderId="0" xfId="0" applyNumberFormat="1" applyFont="1"/>
    <xf numFmtId="169" fontId="7" fillId="0" borderId="0" xfId="0" applyNumberFormat="1" applyFont="1"/>
    <xf numFmtId="14" fontId="8" fillId="11" borderId="0" xfId="0" applyNumberFormat="1" applyFont="1" applyFill="1"/>
    <xf numFmtId="2" fontId="8" fillId="4" borderId="0" xfId="0" applyNumberFormat="1" applyFont="1" applyFill="1"/>
    <xf numFmtId="14" fontId="15" fillId="0" borderId="0" xfId="0" applyNumberFormat="1" applyFont="1"/>
    <xf numFmtId="0" fontId="1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2" fontId="7" fillId="4" borderId="0" xfId="0" applyNumberFormat="1" applyFont="1" applyFill="1"/>
    <xf numFmtId="2" fontId="7" fillId="0" borderId="0" xfId="0" applyNumberFormat="1" applyFont="1"/>
    <xf numFmtId="166" fontId="8" fillId="0" borderId="0" xfId="0" applyNumberFormat="1" applyFont="1"/>
    <xf numFmtId="6" fontId="8" fillId="0" borderId="0" xfId="0" applyNumberFormat="1" applyFont="1"/>
    <xf numFmtId="167" fontId="8" fillId="0" borderId="0" xfId="0" applyNumberFormat="1" applyFont="1"/>
    <xf numFmtId="0" fontId="8" fillId="4" borderId="0" xfId="0" applyFont="1" applyFill="1"/>
    <xf numFmtId="168" fontId="8" fillId="0" borderId="0" xfId="0" applyNumberFormat="1" applyFont="1"/>
    <xf numFmtId="0" fontId="17" fillId="0" borderId="0" xfId="0" applyFont="1"/>
    <xf numFmtId="0" fontId="18" fillId="6" borderId="0" xfId="0" applyFont="1" applyFill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0" fontId="17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2" fontId="17" fillId="0" borderId="0" xfId="0" applyNumberFormat="1" applyFont="1"/>
    <xf numFmtId="2" fontId="19" fillId="0" borderId="0" xfId="0" applyNumberFormat="1" applyFont="1"/>
    <xf numFmtId="0" fontId="17" fillId="0" borderId="0" xfId="0" applyFont="1" applyAlignment="1">
      <alignment horizontal="center" wrapText="1"/>
    </xf>
    <xf numFmtId="3" fontId="17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0" borderId="0" xfId="0" applyNumberFormat="1" applyFont="1"/>
    <xf numFmtId="0" fontId="19" fillId="0" borderId="0" xfId="0" applyFont="1"/>
    <xf numFmtId="164" fontId="17" fillId="0" borderId="0" xfId="0" applyNumberFormat="1" applyFont="1"/>
    <xf numFmtId="43" fontId="19" fillId="0" borderId="0" xfId="0" applyNumberFormat="1" applyFont="1"/>
    <xf numFmtId="43" fontId="17" fillId="0" borderId="0" xfId="0" applyNumberFormat="1" applyFont="1"/>
    <xf numFmtId="0" fontId="17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2" fontId="19" fillId="4" borderId="0" xfId="0" applyNumberFormat="1" applyFont="1" applyFill="1"/>
    <xf numFmtId="166" fontId="17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>
                <a:latin typeface="Arial" panose="020B0604020202020204" pitchFamily="34" charset="0"/>
                <a:cs typeface="Arial" panose="020B0604020202020204" pitchFamily="34" charset="0"/>
              </a:rPr>
              <a:t>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242586305403925"/>
          <c:y val="5.2007268790580777E-2"/>
          <c:w val="0.7744698986178602"/>
          <c:h val="0.78174611194787802"/>
        </c:manualLayout>
      </c:layout>
      <c:scatterChart>
        <c:scatterStyle val="lineMarker"/>
        <c:varyColors val="0"/>
        <c:ser>
          <c:idx val="0"/>
          <c:order val="0"/>
          <c:tx>
            <c:v>Reactor 1 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BIOGÁS!$B$3:$B$48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</c:numCache>
            </c:numRef>
          </c:xVal>
          <c:yVal>
            <c:numRef>
              <c:f>(BIOGÁS!$L$3:$L$47,BIOGÁS!$L$79:$L$123,BIOGÁS!$L$79:$L$124)</c:f>
              <c:numCache>
                <c:formatCode>0.00</c:formatCode>
                <c:ptCount val="1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1.8912508007976396</c:v>
                </c:pt>
                <c:pt idx="7">
                  <c:v>4.4517602293957532</c:v>
                </c:pt>
                <c:pt idx="8">
                  <c:v>7.1583624723313477</c:v>
                </c:pt>
                <c:pt idx="9">
                  <c:v>10.819879035399277</c:v>
                </c:pt>
                <c:pt idx="10">
                  <c:v>15.254133288644853</c:v>
                </c:pt>
                <c:pt idx="11">
                  <c:v>24.347816664424236</c:v>
                </c:pt>
                <c:pt idx="12">
                  <c:v>33.515180782732678</c:v>
                </c:pt>
                <c:pt idx="13">
                  <c:v>39.854673910081971</c:v>
                </c:pt>
                <c:pt idx="14">
                  <c:v>46.926547247151156</c:v>
                </c:pt>
                <c:pt idx="15">
                  <c:v>56.142271876267209</c:v>
                </c:pt>
                <c:pt idx="16">
                  <c:v>67.939908560450888</c:v>
                </c:pt>
                <c:pt idx="17">
                  <c:v>80.31432458996396</c:v>
                </c:pt>
                <c:pt idx="18">
                  <c:v>93.488609081669836</c:v>
                </c:pt>
                <c:pt idx="19">
                  <c:v>107.58480392104121</c:v>
                </c:pt>
                <c:pt idx="20">
                  <c:v>122.17345220857607</c:v>
                </c:pt>
                <c:pt idx="21">
                  <c:v>137.89819128776054</c:v>
                </c:pt>
                <c:pt idx="22">
                  <c:v>154.99196915926285</c:v>
                </c:pt>
                <c:pt idx="23">
                  <c:v>171.02397766486601</c:v>
                </c:pt>
                <c:pt idx="24">
                  <c:v>183.87404982183222</c:v>
                </c:pt>
                <c:pt idx="25">
                  <c:v>196.81085683026893</c:v>
                </c:pt>
                <c:pt idx="26">
                  <c:v>213.86282711372681</c:v>
                </c:pt>
                <c:pt idx="27">
                  <c:v>231.79105542760391</c:v>
                </c:pt>
                <c:pt idx="28">
                  <c:v>252.2899285772682</c:v>
                </c:pt>
                <c:pt idx="29">
                  <c:v>271.88277650689093</c:v>
                </c:pt>
                <c:pt idx="30">
                  <c:v>291.47673308722091</c:v>
                </c:pt>
                <c:pt idx="31">
                  <c:v>310.53995958082595</c:v>
                </c:pt>
                <c:pt idx="32">
                  <c:v>329.41255380949411</c:v>
                </c:pt>
                <c:pt idx="33">
                  <c:v>352.09779333688499</c:v>
                </c:pt>
                <c:pt idx="34">
                  <c:v>373.82987153959391</c:v>
                </c:pt>
                <c:pt idx="35">
                  <c:v>394.22752388775098</c:v>
                </c:pt>
                <c:pt idx="36">
                  <c:v>407.38115016833945</c:v>
                </c:pt>
                <c:pt idx="37">
                  <c:v>419.96287965411767</c:v>
                </c:pt>
                <c:pt idx="38">
                  <c:v>438.26357708797917</c:v>
                </c:pt>
                <c:pt idx="39">
                  <c:v>445.93775367001467</c:v>
                </c:pt>
                <c:pt idx="40">
                  <c:v>445.16519840559812</c:v>
                </c:pt>
                <c:pt idx="41">
                  <c:v>448.21950508419462</c:v>
                </c:pt>
                <c:pt idx="42">
                  <c:v>451.48825930326558</c:v>
                </c:pt>
                <c:pt idx="43">
                  <c:v>451.06083228694769</c:v>
                </c:pt>
                <c:pt idx="44">
                  <c:v>466.24310421106759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7.4619855416544398</c:v>
                </c:pt>
                <c:pt idx="55">
                  <c:v>11.299357991588272</c:v>
                </c:pt>
                <c:pt idx="56">
                  <c:v>20.761704132453897</c:v>
                </c:pt>
                <c:pt idx="57">
                  <c:v>28.243129873087607</c:v>
                </c:pt>
                <c:pt idx="58">
                  <c:v>35.551117572371759</c:v>
                </c:pt>
                <c:pt idx="59">
                  <c:v>43.345806694154739</c:v>
                </c:pt>
                <c:pt idx="60">
                  <c:v>52.928741162809544</c:v>
                </c:pt>
                <c:pt idx="61">
                  <c:v>64.523935504336876</c:v>
                </c:pt>
                <c:pt idx="62">
                  <c:v>76.308146878824942</c:v>
                </c:pt>
                <c:pt idx="63">
                  <c:v>89.308224122732057</c:v>
                </c:pt>
                <c:pt idx="64">
                  <c:v>104.17542633199213</c:v>
                </c:pt>
                <c:pt idx="65">
                  <c:v>119.70338241275522</c:v>
                </c:pt>
                <c:pt idx="66">
                  <c:v>136.19574448173776</c:v>
                </c:pt>
                <c:pt idx="67">
                  <c:v>153.26770745044428</c:v>
                </c:pt>
                <c:pt idx="68">
                  <c:v>167.2234448278673</c:v>
                </c:pt>
                <c:pt idx="69">
                  <c:v>179.52759232347407</c:v>
                </c:pt>
                <c:pt idx="70">
                  <c:v>190.40130785303691</c:v>
                </c:pt>
                <c:pt idx="71">
                  <c:v>207.0854840009672</c:v>
                </c:pt>
                <c:pt idx="72">
                  <c:v>222.73081873336503</c:v>
                </c:pt>
                <c:pt idx="73">
                  <c:v>240.09464502066209</c:v>
                </c:pt>
                <c:pt idx="74">
                  <c:v>257.21215717189966</c:v>
                </c:pt>
                <c:pt idx="75">
                  <c:v>274.51046150791143</c:v>
                </c:pt>
                <c:pt idx="76">
                  <c:v>291.66736535215591</c:v>
                </c:pt>
                <c:pt idx="77">
                  <c:v>306.91794654703989</c:v>
                </c:pt>
                <c:pt idx="78">
                  <c:v>324.07485039128431</c:v>
                </c:pt>
                <c:pt idx="79">
                  <c:v>345.04439953424981</c:v>
                </c:pt>
                <c:pt idx="80">
                  <c:v>364.10762602785479</c:v>
                </c:pt>
                <c:pt idx="81">
                  <c:v>377.45188457337821</c:v>
                </c:pt>
                <c:pt idx="82">
                  <c:v>388.88982046954123</c:v>
                </c:pt>
                <c:pt idx="83">
                  <c:v>405.21281011016328</c:v>
                </c:pt>
                <c:pt idx="84">
                  <c:v>409.85936961250667</c:v>
                </c:pt>
                <c:pt idx="85">
                  <c:v>411.76569226186717</c:v>
                </c:pt>
                <c:pt idx="86">
                  <c:v>415.19481412185797</c:v>
                </c:pt>
                <c:pt idx="87">
                  <c:v>417.96664480259898</c:v>
                </c:pt>
                <c:pt idx="88">
                  <c:v>417.76870000090145</c:v>
                </c:pt>
                <c:pt idx="89">
                  <c:v>436.41229408108609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7.4619855416544398</c:v>
                </c:pt>
                <c:pt idx="100">
                  <c:v>11.299357991588272</c:v>
                </c:pt>
                <c:pt idx="101">
                  <c:v>20.761704132453897</c:v>
                </c:pt>
                <c:pt idx="102">
                  <c:v>28.243129873087607</c:v>
                </c:pt>
                <c:pt idx="103">
                  <c:v>35.551117572371759</c:v>
                </c:pt>
                <c:pt idx="104">
                  <c:v>43.345806694154739</c:v>
                </c:pt>
                <c:pt idx="105">
                  <c:v>52.928741162809544</c:v>
                </c:pt>
                <c:pt idx="106">
                  <c:v>64.523935504336876</c:v>
                </c:pt>
                <c:pt idx="107">
                  <c:v>76.308146878824942</c:v>
                </c:pt>
                <c:pt idx="108">
                  <c:v>89.308224122732057</c:v>
                </c:pt>
                <c:pt idx="109">
                  <c:v>104.17542633199213</c:v>
                </c:pt>
                <c:pt idx="110">
                  <c:v>119.70338241275522</c:v>
                </c:pt>
                <c:pt idx="111">
                  <c:v>136.19574448173776</c:v>
                </c:pt>
                <c:pt idx="112">
                  <c:v>153.26770745044428</c:v>
                </c:pt>
                <c:pt idx="113">
                  <c:v>167.2234448278673</c:v>
                </c:pt>
                <c:pt idx="114">
                  <c:v>179.52759232347407</c:v>
                </c:pt>
                <c:pt idx="115">
                  <c:v>190.40130785303691</c:v>
                </c:pt>
                <c:pt idx="116">
                  <c:v>207.0854840009672</c:v>
                </c:pt>
                <c:pt idx="117">
                  <c:v>222.73081873336503</c:v>
                </c:pt>
                <c:pt idx="118">
                  <c:v>240.09464502066209</c:v>
                </c:pt>
                <c:pt idx="119">
                  <c:v>257.21215717189966</c:v>
                </c:pt>
                <c:pt idx="120">
                  <c:v>274.51046150791143</c:v>
                </c:pt>
                <c:pt idx="121">
                  <c:v>291.66736535215591</c:v>
                </c:pt>
                <c:pt idx="122">
                  <c:v>306.91794654703989</c:v>
                </c:pt>
                <c:pt idx="123">
                  <c:v>324.07485039128431</c:v>
                </c:pt>
                <c:pt idx="124">
                  <c:v>345.04439953424981</c:v>
                </c:pt>
                <c:pt idx="125">
                  <c:v>364.10762602785479</c:v>
                </c:pt>
                <c:pt idx="126">
                  <c:v>377.45188457337821</c:v>
                </c:pt>
                <c:pt idx="127">
                  <c:v>388.88982046954123</c:v>
                </c:pt>
                <c:pt idx="128">
                  <c:v>405.21281011016328</c:v>
                </c:pt>
                <c:pt idx="129">
                  <c:v>409.85936961250667</c:v>
                </c:pt>
                <c:pt idx="130">
                  <c:v>411.76569226186717</c:v>
                </c:pt>
                <c:pt idx="131">
                  <c:v>415.19481412185797</c:v>
                </c:pt>
                <c:pt idx="132">
                  <c:v>417.96664480259898</c:v>
                </c:pt>
                <c:pt idx="133">
                  <c:v>417.76870000090145</c:v>
                </c:pt>
                <c:pt idx="134">
                  <c:v>436.41229408108609</c:v>
                </c:pt>
                <c:pt idx="135">
                  <c:v>453.91444362574998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2-46DA-9B02-1BC9E5019C16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BIOGÁS!$B$3:$B$48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</c:numCache>
            </c:numRef>
          </c:xVal>
          <c:yVal>
            <c:numRef>
              <c:f>BIOGÁS!$L$79:$L$124</c:f>
              <c:numCache>
                <c:formatCode>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7.4619855416544398</c:v>
                </c:pt>
                <c:pt idx="10">
                  <c:v>11.299357991588272</c:v>
                </c:pt>
                <c:pt idx="11">
                  <c:v>20.761704132453897</c:v>
                </c:pt>
                <c:pt idx="12">
                  <c:v>28.243129873087607</c:v>
                </c:pt>
                <c:pt idx="13">
                  <c:v>35.551117572371759</c:v>
                </c:pt>
                <c:pt idx="14">
                  <c:v>43.345806694154739</c:v>
                </c:pt>
                <c:pt idx="15">
                  <c:v>52.928741162809544</c:v>
                </c:pt>
                <c:pt idx="16">
                  <c:v>64.523935504336876</c:v>
                </c:pt>
                <c:pt idx="17">
                  <c:v>76.308146878824942</c:v>
                </c:pt>
                <c:pt idx="18">
                  <c:v>89.308224122732057</c:v>
                </c:pt>
                <c:pt idx="19">
                  <c:v>104.17542633199213</c:v>
                </c:pt>
                <c:pt idx="20">
                  <c:v>119.70338241275522</c:v>
                </c:pt>
                <c:pt idx="21">
                  <c:v>136.19574448173776</c:v>
                </c:pt>
                <c:pt idx="22">
                  <c:v>153.26770745044428</c:v>
                </c:pt>
                <c:pt idx="23">
                  <c:v>167.2234448278673</c:v>
                </c:pt>
                <c:pt idx="24">
                  <c:v>179.52759232347407</c:v>
                </c:pt>
                <c:pt idx="25">
                  <c:v>190.40130785303691</c:v>
                </c:pt>
                <c:pt idx="26">
                  <c:v>207.0854840009672</c:v>
                </c:pt>
                <c:pt idx="27">
                  <c:v>222.73081873336503</c:v>
                </c:pt>
                <c:pt idx="28">
                  <c:v>240.09464502066209</c:v>
                </c:pt>
                <c:pt idx="29">
                  <c:v>257.21215717189966</c:v>
                </c:pt>
                <c:pt idx="30">
                  <c:v>274.51046150791143</c:v>
                </c:pt>
                <c:pt idx="31">
                  <c:v>291.66736535215591</c:v>
                </c:pt>
                <c:pt idx="32">
                  <c:v>306.91794654703989</c:v>
                </c:pt>
                <c:pt idx="33">
                  <c:v>324.07485039128431</c:v>
                </c:pt>
                <c:pt idx="34">
                  <c:v>345.04439953424981</c:v>
                </c:pt>
                <c:pt idx="35">
                  <c:v>364.10762602785479</c:v>
                </c:pt>
                <c:pt idx="36">
                  <c:v>377.45188457337821</c:v>
                </c:pt>
                <c:pt idx="37">
                  <c:v>388.88982046954123</c:v>
                </c:pt>
                <c:pt idx="38">
                  <c:v>405.21281011016328</c:v>
                </c:pt>
                <c:pt idx="39">
                  <c:v>409.85936961250667</c:v>
                </c:pt>
                <c:pt idx="40">
                  <c:v>411.76569226186717</c:v>
                </c:pt>
                <c:pt idx="41">
                  <c:v>415.19481412185797</c:v>
                </c:pt>
                <c:pt idx="42">
                  <c:v>417.96664480259898</c:v>
                </c:pt>
                <c:pt idx="43">
                  <c:v>417.76870000090145</c:v>
                </c:pt>
                <c:pt idx="44">
                  <c:v>436.41229408108609</c:v>
                </c:pt>
                <c:pt idx="45">
                  <c:v>453.91444362574998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82-46DA-9B02-1BC9E501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2683599"/>
        <c:axId val="1252689423"/>
      </c:scatterChart>
      <c:valAx>
        <c:axId val="1252683599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52689423"/>
        <c:crosses val="autoZero"/>
        <c:crossBetween val="midCat"/>
        <c:majorUnit val="5"/>
      </c:valAx>
      <c:valAx>
        <c:axId val="125268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400" b="1">
                    <a:latin typeface="Arial" panose="020B0604020202020204" pitchFamily="34" charset="0"/>
                    <a:cs typeface="Arial" panose="020B0604020202020204" pitchFamily="34" charset="0"/>
                  </a:rPr>
                  <a:t>Biogas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52683599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63830390153938"/>
          <c:y val="0.49171328342890208"/>
          <c:w val="0.15135637087909667"/>
          <c:h val="9.2499580336566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Evolucion</a:t>
            </a:r>
            <a:r>
              <a:rPr lang="en-US" sz="14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Potencial Redox</a:t>
            </a:r>
          </a:p>
          <a:p>
            <a:pPr>
              <a:defRPr sz="14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 </a:t>
            </a:r>
            <a:r>
              <a:rPr lang="es-MX" sz="14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37ºC</a:t>
            </a:r>
            <a:endParaRPr lang="en-US" sz="14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936115385956262"/>
          <c:y val="1.225114657548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2077811920522404E-2"/>
          <c:y val="9.0204235663402271E-2"/>
          <c:w val="0.8810676958290995"/>
          <c:h val="0.80462796244168266"/>
        </c:manualLayout>
      </c:layout>
      <c:scatterChart>
        <c:scatterStyle val="smoothMarker"/>
        <c:varyColors val="0"/>
        <c:ser>
          <c:idx val="1"/>
          <c:order val="0"/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38100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'GRÁFICA REDOX (2)'!$K$4:$K$71</c:f>
                <c:numCache>
                  <c:formatCode>General</c:formatCode>
                  <c:ptCount val="68"/>
                  <c:pt idx="0">
                    <c:v>5.7627395105684487</c:v>
                  </c:pt>
                  <c:pt idx="1">
                    <c:v>5.5560777532356402</c:v>
                  </c:pt>
                  <c:pt idx="2">
                    <c:v>2.4953289696283867</c:v>
                  </c:pt>
                  <c:pt idx="3">
                    <c:v>3.0116440692751256</c:v>
                  </c:pt>
                  <c:pt idx="4">
                    <c:v>5.1341990611973811</c:v>
                  </c:pt>
                  <c:pt idx="5">
                    <c:v>3.4346275877694019</c:v>
                  </c:pt>
                  <c:pt idx="6">
                    <c:v>1.2714820748507045</c:v>
                  </c:pt>
                  <c:pt idx="7">
                    <c:v>7.3407538214182422</c:v>
                  </c:pt>
                  <c:pt idx="8">
                    <c:v>1.2526638282742384</c:v>
                  </c:pt>
                  <c:pt idx="9">
                    <c:v>3.4130875562555807</c:v>
                  </c:pt>
                  <c:pt idx="10">
                    <c:v>11.878657331533718</c:v>
                  </c:pt>
                  <c:pt idx="11">
                    <c:v>4.6514334708058893</c:v>
                  </c:pt>
                  <c:pt idx="12">
                    <c:v>0.65510813356779285</c:v>
                  </c:pt>
                  <c:pt idx="13">
                    <c:v>4.395452195167171</c:v>
                  </c:pt>
                  <c:pt idx="14">
                    <c:v>1.6340134638368018</c:v>
                  </c:pt>
                  <c:pt idx="15">
                    <c:v>1.475353065088713</c:v>
                  </c:pt>
                  <c:pt idx="16">
                    <c:v>7.4334828086615437</c:v>
                  </c:pt>
                  <c:pt idx="17">
                    <c:v>2.4958298553120035</c:v>
                  </c:pt>
                  <c:pt idx="18">
                    <c:v>1.2569805089976422</c:v>
                  </c:pt>
                  <c:pt idx="19">
                    <c:v>5.3867120460134776</c:v>
                  </c:pt>
                  <c:pt idx="20">
                    <c:v>3.3270357176722278</c:v>
                  </c:pt>
                  <c:pt idx="21">
                    <c:v>5.3300250155760587</c:v>
                  </c:pt>
                  <c:pt idx="22">
                    <c:v>2.6210684844162322</c:v>
                  </c:pt>
                  <c:pt idx="23">
                    <c:v>7.708220719898125</c:v>
                  </c:pt>
                  <c:pt idx="24">
                    <c:v>4.2575423270552024</c:v>
                  </c:pt>
                  <c:pt idx="25">
                    <c:v>4.1756237059070971</c:v>
                  </c:pt>
                  <c:pt idx="26">
                    <c:v>2.1763884457207179</c:v>
                  </c:pt>
                  <c:pt idx="27">
                    <c:v>1.8318933738985237</c:v>
                  </c:pt>
                  <c:pt idx="28">
                    <c:v>2.1855586623713972</c:v>
                  </c:pt>
                  <c:pt idx="29">
                    <c:v>1.4314910641239318</c:v>
                  </c:pt>
                  <c:pt idx="30">
                    <c:v>15.279725128417722</c:v>
                  </c:pt>
                  <c:pt idx="31">
                    <c:v>3.690528417449185</c:v>
                  </c:pt>
                  <c:pt idx="32">
                    <c:v>7.8129699858632415</c:v>
                  </c:pt>
                  <c:pt idx="33">
                    <c:v>0.57373048260196424</c:v>
                  </c:pt>
                  <c:pt idx="34">
                    <c:v>6.6795708444979311</c:v>
                  </c:pt>
                  <c:pt idx="35">
                    <c:v>2.7868739954771158</c:v>
                  </c:pt>
                  <c:pt idx="36">
                    <c:v>1.1814539065631626</c:v>
                  </c:pt>
                  <c:pt idx="37">
                    <c:v>0.8732124598286598</c:v>
                  </c:pt>
                  <c:pt idx="38">
                    <c:v>2.6887109674836225</c:v>
                  </c:pt>
                  <c:pt idx="39">
                    <c:v>4.3300307928081283</c:v>
                  </c:pt>
                  <c:pt idx="40">
                    <c:v>1.8927493230747714</c:v>
                  </c:pt>
                  <c:pt idx="41">
                    <c:v>3.9024564913226985</c:v>
                  </c:pt>
                  <c:pt idx="42">
                    <c:v>1.8463928798245153</c:v>
                  </c:pt>
                  <c:pt idx="43">
                    <c:v>9.3417967579404539</c:v>
                  </c:pt>
                  <c:pt idx="44">
                    <c:v>2.4185050478894334</c:v>
                  </c:pt>
                  <c:pt idx="45">
                    <c:v>1.7820867917509942</c:v>
                  </c:pt>
                  <c:pt idx="46">
                    <c:v>6.1092825547140253</c:v>
                  </c:pt>
                  <c:pt idx="47">
                    <c:v>3.8715845162758153</c:v>
                  </c:pt>
                  <c:pt idx="48">
                    <c:v>1.6780444968275827</c:v>
                  </c:pt>
                  <c:pt idx="49">
                    <c:v>10.490114394037839</c:v>
                  </c:pt>
                  <c:pt idx="50">
                    <c:v>3.6224991373359967</c:v>
                  </c:pt>
                  <c:pt idx="51">
                    <c:v>5.4236365414114225</c:v>
                  </c:pt>
                  <c:pt idx="52">
                    <c:v>2.2397916569776455</c:v>
                  </c:pt>
                  <c:pt idx="53">
                    <c:v>1.4071247279470229</c:v>
                  </c:pt>
                  <c:pt idx="54">
                    <c:v>2.2353224972398547</c:v>
                  </c:pt>
                  <c:pt idx="55">
                    <c:v>5.0407506054819384</c:v>
                  </c:pt>
                  <c:pt idx="56">
                    <c:v>16.833770621382872</c:v>
                  </c:pt>
                  <c:pt idx="57">
                    <c:v>9.1684240739616705</c:v>
                  </c:pt>
                  <c:pt idx="58">
                    <c:v>5.7087651904768482</c:v>
                  </c:pt>
                  <c:pt idx="59">
                    <c:v>2.7012342857787566</c:v>
                  </c:pt>
                  <c:pt idx="60">
                    <c:v>2.9860788111948189</c:v>
                  </c:pt>
                  <c:pt idx="61">
                    <c:v>4.3384905209070155</c:v>
                  </c:pt>
                  <c:pt idx="62">
                    <c:v>11.305861311726746</c:v>
                  </c:pt>
                  <c:pt idx="63">
                    <c:v>14.890125363251098</c:v>
                  </c:pt>
                  <c:pt idx="64">
                    <c:v>4.8863756166167498</c:v>
                  </c:pt>
                  <c:pt idx="65">
                    <c:v>3.9986456040347851</c:v>
                  </c:pt>
                  <c:pt idx="66">
                    <c:v>7.5485097867062541</c:v>
                  </c:pt>
                  <c:pt idx="67">
                    <c:v>1.8699376103674354</c:v>
                  </c:pt>
                </c:numCache>
              </c:numRef>
            </c:plus>
            <c:minus>
              <c:numRef>
                <c:f>'GRÁFICA REDOX (2)'!$K$4:$K$71</c:f>
                <c:numCache>
                  <c:formatCode>General</c:formatCode>
                  <c:ptCount val="68"/>
                  <c:pt idx="0">
                    <c:v>5.7627395105684487</c:v>
                  </c:pt>
                  <c:pt idx="1">
                    <c:v>5.5560777532356402</c:v>
                  </c:pt>
                  <c:pt idx="2">
                    <c:v>2.4953289696283867</c:v>
                  </c:pt>
                  <c:pt idx="3">
                    <c:v>3.0116440692751256</c:v>
                  </c:pt>
                  <c:pt idx="4">
                    <c:v>5.1341990611973811</c:v>
                  </c:pt>
                  <c:pt idx="5">
                    <c:v>3.4346275877694019</c:v>
                  </c:pt>
                  <c:pt idx="6">
                    <c:v>1.2714820748507045</c:v>
                  </c:pt>
                  <c:pt idx="7">
                    <c:v>7.3407538214182422</c:v>
                  </c:pt>
                  <c:pt idx="8">
                    <c:v>1.2526638282742384</c:v>
                  </c:pt>
                  <c:pt idx="9">
                    <c:v>3.4130875562555807</c:v>
                  </c:pt>
                  <c:pt idx="10">
                    <c:v>11.878657331533718</c:v>
                  </c:pt>
                  <c:pt idx="11">
                    <c:v>4.6514334708058893</c:v>
                  </c:pt>
                  <c:pt idx="12">
                    <c:v>0.65510813356779285</c:v>
                  </c:pt>
                  <c:pt idx="13">
                    <c:v>4.395452195167171</c:v>
                  </c:pt>
                  <c:pt idx="14">
                    <c:v>1.6340134638368018</c:v>
                  </c:pt>
                  <c:pt idx="15">
                    <c:v>1.475353065088713</c:v>
                  </c:pt>
                  <c:pt idx="16">
                    <c:v>7.4334828086615437</c:v>
                  </c:pt>
                  <c:pt idx="17">
                    <c:v>2.4958298553120035</c:v>
                  </c:pt>
                  <c:pt idx="18">
                    <c:v>1.2569805089976422</c:v>
                  </c:pt>
                  <c:pt idx="19">
                    <c:v>5.3867120460134776</c:v>
                  </c:pt>
                  <c:pt idx="20">
                    <c:v>3.3270357176722278</c:v>
                  </c:pt>
                  <c:pt idx="21">
                    <c:v>5.3300250155760587</c:v>
                  </c:pt>
                  <c:pt idx="22">
                    <c:v>2.6210684844162322</c:v>
                  </c:pt>
                  <c:pt idx="23">
                    <c:v>7.708220719898125</c:v>
                  </c:pt>
                  <c:pt idx="24">
                    <c:v>4.2575423270552024</c:v>
                  </c:pt>
                  <c:pt idx="25">
                    <c:v>4.1756237059070971</c:v>
                  </c:pt>
                  <c:pt idx="26">
                    <c:v>2.1763884457207179</c:v>
                  </c:pt>
                  <c:pt idx="27">
                    <c:v>1.8318933738985237</c:v>
                  </c:pt>
                  <c:pt idx="28">
                    <c:v>2.1855586623713972</c:v>
                  </c:pt>
                  <c:pt idx="29">
                    <c:v>1.4314910641239318</c:v>
                  </c:pt>
                  <c:pt idx="30">
                    <c:v>15.279725128417722</c:v>
                  </c:pt>
                  <c:pt idx="31">
                    <c:v>3.690528417449185</c:v>
                  </c:pt>
                  <c:pt idx="32">
                    <c:v>7.8129699858632415</c:v>
                  </c:pt>
                  <c:pt idx="33">
                    <c:v>0.57373048260196424</c:v>
                  </c:pt>
                  <c:pt idx="34">
                    <c:v>6.6795708444979311</c:v>
                  </c:pt>
                  <c:pt idx="35">
                    <c:v>2.7868739954771158</c:v>
                  </c:pt>
                  <c:pt idx="36">
                    <c:v>1.1814539065631626</c:v>
                  </c:pt>
                  <c:pt idx="37">
                    <c:v>0.8732124598286598</c:v>
                  </c:pt>
                  <c:pt idx="38">
                    <c:v>2.6887109674836225</c:v>
                  </c:pt>
                  <c:pt idx="39">
                    <c:v>4.3300307928081283</c:v>
                  </c:pt>
                  <c:pt idx="40">
                    <c:v>1.8927493230747714</c:v>
                  </c:pt>
                  <c:pt idx="41">
                    <c:v>3.9024564913226985</c:v>
                  </c:pt>
                  <c:pt idx="42">
                    <c:v>1.8463928798245153</c:v>
                  </c:pt>
                  <c:pt idx="43">
                    <c:v>9.3417967579404539</c:v>
                  </c:pt>
                  <c:pt idx="44">
                    <c:v>2.4185050478894334</c:v>
                  </c:pt>
                  <c:pt idx="45">
                    <c:v>1.7820867917509942</c:v>
                  </c:pt>
                  <c:pt idx="46">
                    <c:v>6.1092825547140253</c:v>
                  </c:pt>
                  <c:pt idx="47">
                    <c:v>3.8715845162758153</c:v>
                  </c:pt>
                  <c:pt idx="48">
                    <c:v>1.6780444968275827</c:v>
                  </c:pt>
                  <c:pt idx="49">
                    <c:v>10.490114394037839</c:v>
                  </c:pt>
                  <c:pt idx="50">
                    <c:v>3.6224991373359967</c:v>
                  </c:pt>
                  <c:pt idx="51">
                    <c:v>5.4236365414114225</c:v>
                  </c:pt>
                  <c:pt idx="52">
                    <c:v>2.2397916569776455</c:v>
                  </c:pt>
                  <c:pt idx="53">
                    <c:v>1.4071247279470229</c:v>
                  </c:pt>
                  <c:pt idx="54">
                    <c:v>2.2353224972398547</c:v>
                  </c:pt>
                  <c:pt idx="55">
                    <c:v>5.0407506054819384</c:v>
                  </c:pt>
                  <c:pt idx="56">
                    <c:v>16.833770621382872</c:v>
                  </c:pt>
                  <c:pt idx="57">
                    <c:v>9.1684240739616705</c:v>
                  </c:pt>
                  <c:pt idx="58">
                    <c:v>5.7087651904768482</c:v>
                  </c:pt>
                  <c:pt idx="59">
                    <c:v>2.7012342857787566</c:v>
                  </c:pt>
                  <c:pt idx="60">
                    <c:v>2.9860788111948189</c:v>
                  </c:pt>
                  <c:pt idx="61">
                    <c:v>4.3384905209070155</c:v>
                  </c:pt>
                  <c:pt idx="62">
                    <c:v>11.305861311726746</c:v>
                  </c:pt>
                  <c:pt idx="63">
                    <c:v>14.890125363251098</c:v>
                  </c:pt>
                  <c:pt idx="64">
                    <c:v>4.8863756166167498</c:v>
                  </c:pt>
                  <c:pt idx="65">
                    <c:v>3.9986456040347851</c:v>
                  </c:pt>
                  <c:pt idx="66">
                    <c:v>7.5485097867062541</c:v>
                  </c:pt>
                  <c:pt idx="67">
                    <c:v>1.8699376103674354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REDOX (2)'!$B$4:$B$71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157</c:v>
                </c:pt>
              </c:numCache>
            </c:numRef>
          </c:xVal>
          <c:yVal>
            <c:numRef>
              <c:f>'GRÁFICA REDOX (2)'!$J$4:$J$71</c:f>
              <c:numCache>
                <c:formatCode>General</c:formatCode>
                <c:ptCount val="68"/>
                <c:pt idx="0">
                  <c:v>-195.375</c:v>
                </c:pt>
                <c:pt idx="1">
                  <c:v>-208.05</c:v>
                </c:pt>
                <c:pt idx="2">
                  <c:v>-210.10000000000002</c:v>
                </c:pt>
                <c:pt idx="3">
                  <c:v>-218.75</c:v>
                </c:pt>
                <c:pt idx="4">
                  <c:v>-239.1</c:v>
                </c:pt>
                <c:pt idx="5">
                  <c:v>-244.25</c:v>
                </c:pt>
                <c:pt idx="6">
                  <c:v>-249.64999999999998</c:v>
                </c:pt>
                <c:pt idx="7">
                  <c:v>-253.89999999999998</c:v>
                </c:pt>
                <c:pt idx="8">
                  <c:v>-266.77499999999998</c:v>
                </c:pt>
                <c:pt idx="9">
                  <c:v>-273.47500000000002</c:v>
                </c:pt>
                <c:pt idx="10">
                  <c:v>-285.92499999999995</c:v>
                </c:pt>
                <c:pt idx="11">
                  <c:v>-304.67499999999995</c:v>
                </c:pt>
                <c:pt idx="12">
                  <c:v>-310.32499999999999</c:v>
                </c:pt>
                <c:pt idx="13">
                  <c:v>-310.8</c:v>
                </c:pt>
                <c:pt idx="14">
                  <c:v>-308.95</c:v>
                </c:pt>
                <c:pt idx="15">
                  <c:v>-316.25</c:v>
                </c:pt>
                <c:pt idx="16">
                  <c:v>-319.25</c:v>
                </c:pt>
                <c:pt idx="17">
                  <c:v>-309.125</c:v>
                </c:pt>
                <c:pt idx="18">
                  <c:v>-319</c:v>
                </c:pt>
                <c:pt idx="19">
                  <c:v>-332.15</c:v>
                </c:pt>
                <c:pt idx="20">
                  <c:v>-334.67499999999995</c:v>
                </c:pt>
                <c:pt idx="21">
                  <c:v>-334.875</c:v>
                </c:pt>
                <c:pt idx="22">
                  <c:v>-333.15000000000003</c:v>
                </c:pt>
                <c:pt idx="23">
                  <c:v>-330.75</c:v>
                </c:pt>
                <c:pt idx="24">
                  <c:v>-336.90000000000003</c:v>
                </c:pt>
                <c:pt idx="25">
                  <c:v>-325.92499999999995</c:v>
                </c:pt>
                <c:pt idx="26">
                  <c:v>-328.85</c:v>
                </c:pt>
                <c:pt idx="27">
                  <c:v>-324.875</c:v>
                </c:pt>
                <c:pt idx="28">
                  <c:v>-332.75</c:v>
                </c:pt>
                <c:pt idx="29">
                  <c:v>-339.32499999999999</c:v>
                </c:pt>
                <c:pt idx="30">
                  <c:v>-331.85</c:v>
                </c:pt>
                <c:pt idx="31">
                  <c:v>-336.7</c:v>
                </c:pt>
                <c:pt idx="32">
                  <c:v>-327.77499999999998</c:v>
                </c:pt>
                <c:pt idx="33">
                  <c:v>-331.07499999999999</c:v>
                </c:pt>
                <c:pt idx="34">
                  <c:v>-327.95</c:v>
                </c:pt>
                <c:pt idx="35">
                  <c:v>-322.8</c:v>
                </c:pt>
                <c:pt idx="36">
                  <c:v>-321.72499999999997</c:v>
                </c:pt>
                <c:pt idx="37">
                  <c:v>-325.375</c:v>
                </c:pt>
                <c:pt idx="38">
                  <c:v>-326.07499999999999</c:v>
                </c:pt>
                <c:pt idx="39">
                  <c:v>-326.47500000000002</c:v>
                </c:pt>
                <c:pt idx="40">
                  <c:v>-333.17500000000001</c:v>
                </c:pt>
                <c:pt idx="41">
                  <c:v>-321.82499999999999</c:v>
                </c:pt>
                <c:pt idx="42">
                  <c:v>-334.77499999999998</c:v>
                </c:pt>
                <c:pt idx="43">
                  <c:v>-332.92499999999995</c:v>
                </c:pt>
                <c:pt idx="44">
                  <c:v>-333.57499999999999</c:v>
                </c:pt>
                <c:pt idx="45">
                  <c:v>-320.22500000000002</c:v>
                </c:pt>
                <c:pt idx="46">
                  <c:v>-335.75</c:v>
                </c:pt>
                <c:pt idx="47">
                  <c:v>-328.42500000000001</c:v>
                </c:pt>
                <c:pt idx="48">
                  <c:v>-334.57499999999999</c:v>
                </c:pt>
                <c:pt idx="49">
                  <c:v>-333.82499999999999</c:v>
                </c:pt>
                <c:pt idx="50">
                  <c:v>-325.375</c:v>
                </c:pt>
                <c:pt idx="51">
                  <c:v>-332.02499999999998</c:v>
                </c:pt>
                <c:pt idx="52">
                  <c:v>-336.15</c:v>
                </c:pt>
                <c:pt idx="53">
                  <c:v>-336.4</c:v>
                </c:pt>
                <c:pt idx="54">
                  <c:v>-344.94999999999993</c:v>
                </c:pt>
                <c:pt idx="55">
                  <c:v>-347.125</c:v>
                </c:pt>
                <c:pt idx="56">
                  <c:v>-332.125</c:v>
                </c:pt>
                <c:pt idx="57">
                  <c:v>-346</c:v>
                </c:pt>
                <c:pt idx="58">
                  <c:v>-303.75</c:v>
                </c:pt>
                <c:pt idx="59">
                  <c:v>-337.25</c:v>
                </c:pt>
                <c:pt idx="60">
                  <c:v>-344.84999999999997</c:v>
                </c:pt>
                <c:pt idx="61">
                  <c:v>-330.67500000000001</c:v>
                </c:pt>
                <c:pt idx="62">
                  <c:v>-337.17499999999995</c:v>
                </c:pt>
                <c:pt idx="63">
                  <c:v>-313.92500000000001</c:v>
                </c:pt>
                <c:pt idx="64">
                  <c:v>-324.55</c:v>
                </c:pt>
                <c:pt idx="65">
                  <c:v>-320.625</c:v>
                </c:pt>
                <c:pt idx="66">
                  <c:v>-341.9</c:v>
                </c:pt>
                <c:pt idx="67">
                  <c:v>-252.95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45-4138-B23F-3714D57EE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383816"/>
        <c:axId val="495385784"/>
      </c:scatterChart>
      <c:valAx>
        <c:axId val="495383816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s-MX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s-MX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2171248526969346"/>
              <c:y val="0.948054639204635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5784"/>
        <c:crossesAt val="-450"/>
        <c:crossBetween val="midCat"/>
        <c:majorUnit val="8"/>
      </c:valAx>
      <c:valAx>
        <c:axId val="495385784"/>
        <c:scaling>
          <c:orientation val="minMax"/>
          <c:max val="-170"/>
          <c:min val="-4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Potencial oxido-reduccion</a:t>
                </a:r>
                <a:r>
                  <a:rPr lang="es-MX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es-MX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mV)</a:t>
                </a:r>
              </a:p>
            </c:rich>
          </c:tx>
          <c:layout>
            <c:manualLayout>
              <c:xMode val="edge"/>
              <c:yMode val="edge"/>
              <c:x val="1.6872442182975799E-2"/>
              <c:y val="0.233110724163667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3816"/>
        <c:crosses val="autoZero"/>
        <c:crossBetween val="midCat"/>
        <c:majorUnit val="4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 i="0" baseline="0" dirty="0" err="1">
                <a:effectLst/>
              </a:rPr>
              <a:t>Evolución</a:t>
            </a:r>
            <a:r>
              <a:rPr lang="en-US" sz="1800" b="1" i="0" baseline="0" dirty="0">
                <a:effectLst/>
              </a:rPr>
              <a:t> del </a:t>
            </a:r>
            <a:r>
              <a:rPr lang="en-US" sz="1800" b="1" i="0" baseline="0" dirty="0" err="1">
                <a:effectLst/>
              </a:rPr>
              <a:t>Potencial</a:t>
            </a:r>
            <a:r>
              <a:rPr lang="en-US" sz="1800" b="1" i="0" baseline="0" dirty="0">
                <a:effectLst/>
              </a:rPr>
              <a:t> </a:t>
            </a:r>
            <a:r>
              <a:rPr lang="en-US" sz="1800" b="1" i="0" baseline="0" dirty="0" err="1">
                <a:effectLst/>
              </a:rPr>
              <a:t>Óxido-reducción</a:t>
            </a:r>
            <a:endParaRPr lang="en-US" sz="1400" dirty="0">
              <a:effectLst/>
            </a:endParaRPr>
          </a:p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 i="0" baseline="0" dirty="0">
                <a:effectLst/>
              </a:rPr>
              <a:t> a </a:t>
            </a:r>
            <a:r>
              <a:rPr lang="es-MX" sz="1800" b="1" i="0" baseline="0" dirty="0">
                <a:effectLst/>
              </a:rPr>
              <a:t>37ºC</a:t>
            </a:r>
            <a:endParaRPr lang="en-US" sz="1400" dirty="0">
              <a:effectLst/>
            </a:endParaRPr>
          </a:p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 sz="140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507360144446071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077811920522404E-2"/>
          <c:y val="9.0204235663402271E-2"/>
          <c:w val="0.8810676958290995"/>
          <c:h val="0.80462796244168266"/>
        </c:manualLayout>
      </c:layout>
      <c:scatterChart>
        <c:scatterStyle val="smoothMarker"/>
        <c:varyColors val="0"/>
        <c:ser>
          <c:idx val="1"/>
          <c:order val="0"/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noFill/>
              <a:ln w="63500" cap="rnd">
                <a:solidFill>
                  <a:srgbClr val="00B0F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'GRÁFICA REDOX (2)'!$K$4:$K$71</c:f>
                <c:numCache>
                  <c:formatCode>General</c:formatCode>
                  <c:ptCount val="68"/>
                  <c:pt idx="0">
                    <c:v>5.7627395105684487</c:v>
                  </c:pt>
                  <c:pt idx="1">
                    <c:v>5.5560777532356402</c:v>
                  </c:pt>
                  <c:pt idx="2">
                    <c:v>2.4953289696283867</c:v>
                  </c:pt>
                  <c:pt idx="3">
                    <c:v>3.0116440692751256</c:v>
                  </c:pt>
                  <c:pt idx="4">
                    <c:v>5.1341990611973811</c:v>
                  </c:pt>
                  <c:pt idx="5">
                    <c:v>3.4346275877694019</c:v>
                  </c:pt>
                  <c:pt idx="6">
                    <c:v>1.2714820748507045</c:v>
                  </c:pt>
                  <c:pt idx="7">
                    <c:v>7.3407538214182422</c:v>
                  </c:pt>
                  <c:pt idx="8">
                    <c:v>1.2526638282742384</c:v>
                  </c:pt>
                  <c:pt idx="9">
                    <c:v>3.4130875562555807</c:v>
                  </c:pt>
                  <c:pt idx="10">
                    <c:v>11.878657331533718</c:v>
                  </c:pt>
                  <c:pt idx="11">
                    <c:v>4.6514334708058893</c:v>
                  </c:pt>
                  <c:pt idx="12">
                    <c:v>0.65510813356779285</c:v>
                  </c:pt>
                  <c:pt idx="13">
                    <c:v>4.395452195167171</c:v>
                  </c:pt>
                  <c:pt idx="14">
                    <c:v>1.6340134638368018</c:v>
                  </c:pt>
                  <c:pt idx="15">
                    <c:v>1.475353065088713</c:v>
                  </c:pt>
                  <c:pt idx="16">
                    <c:v>7.4334828086615437</c:v>
                  </c:pt>
                  <c:pt idx="17">
                    <c:v>2.4958298553120035</c:v>
                  </c:pt>
                  <c:pt idx="18">
                    <c:v>1.2569805089976422</c:v>
                  </c:pt>
                  <c:pt idx="19">
                    <c:v>5.3867120460134776</c:v>
                  </c:pt>
                  <c:pt idx="20">
                    <c:v>3.3270357176722278</c:v>
                  </c:pt>
                  <c:pt idx="21">
                    <c:v>5.3300250155760587</c:v>
                  </c:pt>
                  <c:pt idx="22">
                    <c:v>2.6210684844162322</c:v>
                  </c:pt>
                  <c:pt idx="23">
                    <c:v>7.708220719898125</c:v>
                  </c:pt>
                  <c:pt idx="24">
                    <c:v>4.2575423270552024</c:v>
                  </c:pt>
                  <c:pt idx="25">
                    <c:v>4.1756237059070971</c:v>
                  </c:pt>
                  <c:pt idx="26">
                    <c:v>2.1763884457207179</c:v>
                  </c:pt>
                  <c:pt idx="27">
                    <c:v>1.8318933738985237</c:v>
                  </c:pt>
                  <c:pt idx="28">
                    <c:v>2.1855586623713972</c:v>
                  </c:pt>
                  <c:pt idx="29">
                    <c:v>1.4314910641239318</c:v>
                  </c:pt>
                  <c:pt idx="30">
                    <c:v>15.279725128417722</c:v>
                  </c:pt>
                  <c:pt idx="31">
                    <c:v>3.690528417449185</c:v>
                  </c:pt>
                  <c:pt idx="32">
                    <c:v>7.8129699858632415</c:v>
                  </c:pt>
                  <c:pt idx="33">
                    <c:v>0.57373048260196424</c:v>
                  </c:pt>
                  <c:pt idx="34">
                    <c:v>6.6795708444979311</c:v>
                  </c:pt>
                  <c:pt idx="35">
                    <c:v>2.7868739954771158</c:v>
                  </c:pt>
                  <c:pt idx="36">
                    <c:v>1.1814539065631626</c:v>
                  </c:pt>
                  <c:pt idx="37">
                    <c:v>0.8732124598286598</c:v>
                  </c:pt>
                  <c:pt idx="38">
                    <c:v>2.6887109674836225</c:v>
                  </c:pt>
                  <c:pt idx="39">
                    <c:v>4.3300307928081283</c:v>
                  </c:pt>
                  <c:pt idx="40">
                    <c:v>1.8927493230747714</c:v>
                  </c:pt>
                  <c:pt idx="41">
                    <c:v>3.9024564913226985</c:v>
                  </c:pt>
                  <c:pt idx="42">
                    <c:v>1.8463928798245153</c:v>
                  </c:pt>
                  <c:pt idx="43">
                    <c:v>9.3417967579404539</c:v>
                  </c:pt>
                  <c:pt idx="44">
                    <c:v>2.4185050478894334</c:v>
                  </c:pt>
                  <c:pt idx="45">
                    <c:v>1.7820867917509942</c:v>
                  </c:pt>
                  <c:pt idx="46">
                    <c:v>6.1092825547140253</c:v>
                  </c:pt>
                  <c:pt idx="47">
                    <c:v>3.8715845162758153</c:v>
                  </c:pt>
                  <c:pt idx="48">
                    <c:v>1.6780444968275827</c:v>
                  </c:pt>
                  <c:pt idx="49">
                    <c:v>10.490114394037839</c:v>
                  </c:pt>
                  <c:pt idx="50">
                    <c:v>3.6224991373359967</c:v>
                  </c:pt>
                  <c:pt idx="51">
                    <c:v>5.4236365414114225</c:v>
                  </c:pt>
                  <c:pt idx="52">
                    <c:v>2.2397916569776455</c:v>
                  </c:pt>
                  <c:pt idx="53">
                    <c:v>1.4071247279470229</c:v>
                  </c:pt>
                  <c:pt idx="54">
                    <c:v>2.2353224972398547</c:v>
                  </c:pt>
                  <c:pt idx="55">
                    <c:v>5.0407506054819384</c:v>
                  </c:pt>
                  <c:pt idx="56">
                    <c:v>16.833770621382872</c:v>
                  </c:pt>
                  <c:pt idx="57">
                    <c:v>9.1684240739616705</c:v>
                  </c:pt>
                  <c:pt idx="58">
                    <c:v>5.7087651904768482</c:v>
                  </c:pt>
                  <c:pt idx="59">
                    <c:v>2.7012342857787566</c:v>
                  </c:pt>
                  <c:pt idx="60">
                    <c:v>2.9860788111948189</c:v>
                  </c:pt>
                  <c:pt idx="61">
                    <c:v>4.3384905209070155</c:v>
                  </c:pt>
                  <c:pt idx="62">
                    <c:v>11.305861311726746</c:v>
                  </c:pt>
                  <c:pt idx="63">
                    <c:v>14.890125363251098</c:v>
                  </c:pt>
                  <c:pt idx="64">
                    <c:v>4.8863756166167498</c:v>
                  </c:pt>
                  <c:pt idx="65">
                    <c:v>3.9986456040347851</c:v>
                  </c:pt>
                  <c:pt idx="66">
                    <c:v>7.5485097867062541</c:v>
                  </c:pt>
                  <c:pt idx="67">
                    <c:v>1.8699376103674354</c:v>
                  </c:pt>
                </c:numCache>
              </c:numRef>
            </c:plus>
            <c:minus>
              <c:numRef>
                <c:f>'GRÁFICA REDOX (2)'!$K$4:$K$71</c:f>
                <c:numCache>
                  <c:formatCode>General</c:formatCode>
                  <c:ptCount val="68"/>
                  <c:pt idx="0">
                    <c:v>5.7627395105684487</c:v>
                  </c:pt>
                  <c:pt idx="1">
                    <c:v>5.5560777532356402</c:v>
                  </c:pt>
                  <c:pt idx="2">
                    <c:v>2.4953289696283867</c:v>
                  </c:pt>
                  <c:pt idx="3">
                    <c:v>3.0116440692751256</c:v>
                  </c:pt>
                  <c:pt idx="4">
                    <c:v>5.1341990611973811</c:v>
                  </c:pt>
                  <c:pt idx="5">
                    <c:v>3.4346275877694019</c:v>
                  </c:pt>
                  <c:pt idx="6">
                    <c:v>1.2714820748507045</c:v>
                  </c:pt>
                  <c:pt idx="7">
                    <c:v>7.3407538214182422</c:v>
                  </c:pt>
                  <c:pt idx="8">
                    <c:v>1.2526638282742384</c:v>
                  </c:pt>
                  <c:pt idx="9">
                    <c:v>3.4130875562555807</c:v>
                  </c:pt>
                  <c:pt idx="10">
                    <c:v>11.878657331533718</c:v>
                  </c:pt>
                  <c:pt idx="11">
                    <c:v>4.6514334708058893</c:v>
                  </c:pt>
                  <c:pt idx="12">
                    <c:v>0.65510813356779285</c:v>
                  </c:pt>
                  <c:pt idx="13">
                    <c:v>4.395452195167171</c:v>
                  </c:pt>
                  <c:pt idx="14">
                    <c:v>1.6340134638368018</c:v>
                  </c:pt>
                  <c:pt idx="15">
                    <c:v>1.475353065088713</c:v>
                  </c:pt>
                  <c:pt idx="16">
                    <c:v>7.4334828086615437</c:v>
                  </c:pt>
                  <c:pt idx="17">
                    <c:v>2.4958298553120035</c:v>
                  </c:pt>
                  <c:pt idx="18">
                    <c:v>1.2569805089976422</c:v>
                  </c:pt>
                  <c:pt idx="19">
                    <c:v>5.3867120460134776</c:v>
                  </c:pt>
                  <c:pt idx="20">
                    <c:v>3.3270357176722278</c:v>
                  </c:pt>
                  <c:pt idx="21">
                    <c:v>5.3300250155760587</c:v>
                  </c:pt>
                  <c:pt idx="22">
                    <c:v>2.6210684844162322</c:v>
                  </c:pt>
                  <c:pt idx="23">
                    <c:v>7.708220719898125</c:v>
                  </c:pt>
                  <c:pt idx="24">
                    <c:v>4.2575423270552024</c:v>
                  </c:pt>
                  <c:pt idx="25">
                    <c:v>4.1756237059070971</c:v>
                  </c:pt>
                  <c:pt idx="26">
                    <c:v>2.1763884457207179</c:v>
                  </c:pt>
                  <c:pt idx="27">
                    <c:v>1.8318933738985237</c:v>
                  </c:pt>
                  <c:pt idx="28">
                    <c:v>2.1855586623713972</c:v>
                  </c:pt>
                  <c:pt idx="29">
                    <c:v>1.4314910641239318</c:v>
                  </c:pt>
                  <c:pt idx="30">
                    <c:v>15.279725128417722</c:v>
                  </c:pt>
                  <c:pt idx="31">
                    <c:v>3.690528417449185</c:v>
                  </c:pt>
                  <c:pt idx="32">
                    <c:v>7.8129699858632415</c:v>
                  </c:pt>
                  <c:pt idx="33">
                    <c:v>0.57373048260196424</c:v>
                  </c:pt>
                  <c:pt idx="34">
                    <c:v>6.6795708444979311</c:v>
                  </c:pt>
                  <c:pt idx="35">
                    <c:v>2.7868739954771158</c:v>
                  </c:pt>
                  <c:pt idx="36">
                    <c:v>1.1814539065631626</c:v>
                  </c:pt>
                  <c:pt idx="37">
                    <c:v>0.8732124598286598</c:v>
                  </c:pt>
                  <c:pt idx="38">
                    <c:v>2.6887109674836225</c:v>
                  </c:pt>
                  <c:pt idx="39">
                    <c:v>4.3300307928081283</c:v>
                  </c:pt>
                  <c:pt idx="40">
                    <c:v>1.8927493230747714</c:v>
                  </c:pt>
                  <c:pt idx="41">
                    <c:v>3.9024564913226985</c:v>
                  </c:pt>
                  <c:pt idx="42">
                    <c:v>1.8463928798245153</c:v>
                  </c:pt>
                  <c:pt idx="43">
                    <c:v>9.3417967579404539</c:v>
                  </c:pt>
                  <c:pt idx="44">
                    <c:v>2.4185050478894334</c:v>
                  </c:pt>
                  <c:pt idx="45">
                    <c:v>1.7820867917509942</c:v>
                  </c:pt>
                  <c:pt idx="46">
                    <c:v>6.1092825547140253</c:v>
                  </c:pt>
                  <c:pt idx="47">
                    <c:v>3.8715845162758153</c:v>
                  </c:pt>
                  <c:pt idx="48">
                    <c:v>1.6780444968275827</c:v>
                  </c:pt>
                  <c:pt idx="49">
                    <c:v>10.490114394037839</c:v>
                  </c:pt>
                  <c:pt idx="50">
                    <c:v>3.6224991373359967</c:v>
                  </c:pt>
                  <c:pt idx="51">
                    <c:v>5.4236365414114225</c:v>
                  </c:pt>
                  <c:pt idx="52">
                    <c:v>2.2397916569776455</c:v>
                  </c:pt>
                  <c:pt idx="53">
                    <c:v>1.4071247279470229</c:v>
                  </c:pt>
                  <c:pt idx="54">
                    <c:v>2.2353224972398547</c:v>
                  </c:pt>
                  <c:pt idx="55">
                    <c:v>5.0407506054819384</c:v>
                  </c:pt>
                  <c:pt idx="56">
                    <c:v>16.833770621382872</c:v>
                  </c:pt>
                  <c:pt idx="57">
                    <c:v>9.1684240739616705</c:v>
                  </c:pt>
                  <c:pt idx="58">
                    <c:v>5.7087651904768482</c:v>
                  </c:pt>
                  <c:pt idx="59">
                    <c:v>2.7012342857787566</c:v>
                  </c:pt>
                  <c:pt idx="60">
                    <c:v>2.9860788111948189</c:v>
                  </c:pt>
                  <c:pt idx="61">
                    <c:v>4.3384905209070155</c:v>
                  </c:pt>
                  <c:pt idx="62">
                    <c:v>11.305861311726746</c:v>
                  </c:pt>
                  <c:pt idx="63">
                    <c:v>14.890125363251098</c:v>
                  </c:pt>
                  <c:pt idx="64">
                    <c:v>4.8863756166167498</c:v>
                  </c:pt>
                  <c:pt idx="65">
                    <c:v>3.9986456040347851</c:v>
                  </c:pt>
                  <c:pt idx="66">
                    <c:v>7.5485097867062541</c:v>
                  </c:pt>
                  <c:pt idx="67">
                    <c:v>1.8699376103674354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REDOX (2)'!$B$4:$B$71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157</c:v>
                </c:pt>
              </c:numCache>
            </c:numRef>
          </c:xVal>
          <c:yVal>
            <c:numRef>
              <c:f>'GRÁFICA REDOX (2)'!$J$4:$J$71</c:f>
              <c:numCache>
                <c:formatCode>General</c:formatCode>
                <c:ptCount val="68"/>
                <c:pt idx="0">
                  <c:v>-195.375</c:v>
                </c:pt>
                <c:pt idx="1">
                  <c:v>-208.05</c:v>
                </c:pt>
                <c:pt idx="2">
                  <c:v>-210.10000000000002</c:v>
                </c:pt>
                <c:pt idx="3">
                  <c:v>-218.75</c:v>
                </c:pt>
                <c:pt idx="4">
                  <c:v>-239.1</c:v>
                </c:pt>
                <c:pt idx="5">
                  <c:v>-244.25</c:v>
                </c:pt>
                <c:pt idx="6">
                  <c:v>-249.64999999999998</c:v>
                </c:pt>
                <c:pt idx="7">
                  <c:v>-253.89999999999998</c:v>
                </c:pt>
                <c:pt idx="8">
                  <c:v>-266.77499999999998</c:v>
                </c:pt>
                <c:pt idx="9">
                  <c:v>-273.47500000000002</c:v>
                </c:pt>
                <c:pt idx="10">
                  <c:v>-285.92499999999995</c:v>
                </c:pt>
                <c:pt idx="11">
                  <c:v>-304.67499999999995</c:v>
                </c:pt>
                <c:pt idx="12">
                  <c:v>-310.32499999999999</c:v>
                </c:pt>
                <c:pt idx="13">
                  <c:v>-310.8</c:v>
                </c:pt>
                <c:pt idx="14">
                  <c:v>-308.95</c:v>
                </c:pt>
                <c:pt idx="15">
                  <c:v>-316.25</c:v>
                </c:pt>
                <c:pt idx="16">
                  <c:v>-319.25</c:v>
                </c:pt>
                <c:pt idx="17">
                  <c:v>-309.125</c:v>
                </c:pt>
                <c:pt idx="18">
                  <c:v>-319</c:v>
                </c:pt>
                <c:pt idx="19">
                  <c:v>-332.15</c:v>
                </c:pt>
                <c:pt idx="20">
                  <c:v>-334.67499999999995</c:v>
                </c:pt>
                <c:pt idx="21">
                  <c:v>-334.875</c:v>
                </c:pt>
                <c:pt idx="22">
                  <c:v>-333.15000000000003</c:v>
                </c:pt>
                <c:pt idx="23">
                  <c:v>-330.75</c:v>
                </c:pt>
                <c:pt idx="24">
                  <c:v>-336.90000000000003</c:v>
                </c:pt>
                <c:pt idx="25">
                  <c:v>-325.92499999999995</c:v>
                </c:pt>
                <c:pt idx="26">
                  <c:v>-328.85</c:v>
                </c:pt>
                <c:pt idx="27">
                  <c:v>-324.875</c:v>
                </c:pt>
                <c:pt idx="28">
                  <c:v>-332.75</c:v>
                </c:pt>
                <c:pt idx="29">
                  <c:v>-339.32499999999999</c:v>
                </c:pt>
                <c:pt idx="30">
                  <c:v>-331.85</c:v>
                </c:pt>
                <c:pt idx="31">
                  <c:v>-336.7</c:v>
                </c:pt>
                <c:pt idx="32">
                  <c:v>-327.77499999999998</c:v>
                </c:pt>
                <c:pt idx="33">
                  <c:v>-331.07499999999999</c:v>
                </c:pt>
                <c:pt idx="34">
                  <c:v>-327.95</c:v>
                </c:pt>
                <c:pt idx="35">
                  <c:v>-322.8</c:v>
                </c:pt>
                <c:pt idx="36">
                  <c:v>-321.72499999999997</c:v>
                </c:pt>
                <c:pt idx="37">
                  <c:v>-325.375</c:v>
                </c:pt>
                <c:pt idx="38">
                  <c:v>-326.07499999999999</c:v>
                </c:pt>
                <c:pt idx="39">
                  <c:v>-326.47500000000002</c:v>
                </c:pt>
                <c:pt idx="40">
                  <c:v>-333.17500000000001</c:v>
                </c:pt>
                <c:pt idx="41">
                  <c:v>-321.82499999999999</c:v>
                </c:pt>
                <c:pt idx="42">
                  <c:v>-334.77499999999998</c:v>
                </c:pt>
                <c:pt idx="43">
                  <c:v>-332.92499999999995</c:v>
                </c:pt>
                <c:pt idx="44">
                  <c:v>-333.57499999999999</c:v>
                </c:pt>
                <c:pt idx="45">
                  <c:v>-320.22500000000002</c:v>
                </c:pt>
                <c:pt idx="46">
                  <c:v>-335.75</c:v>
                </c:pt>
                <c:pt idx="47">
                  <c:v>-328.42500000000001</c:v>
                </c:pt>
                <c:pt idx="48">
                  <c:v>-334.57499999999999</c:v>
                </c:pt>
                <c:pt idx="49">
                  <c:v>-333.82499999999999</c:v>
                </c:pt>
                <c:pt idx="50">
                  <c:v>-325.375</c:v>
                </c:pt>
                <c:pt idx="51">
                  <c:v>-332.02499999999998</c:v>
                </c:pt>
                <c:pt idx="52">
                  <c:v>-336.15</c:v>
                </c:pt>
                <c:pt idx="53">
                  <c:v>-336.4</c:v>
                </c:pt>
                <c:pt idx="54">
                  <c:v>-344.94999999999993</c:v>
                </c:pt>
                <c:pt idx="55">
                  <c:v>-347.125</c:v>
                </c:pt>
                <c:pt idx="56">
                  <c:v>-332.125</c:v>
                </c:pt>
                <c:pt idx="57">
                  <c:v>-346</c:v>
                </c:pt>
                <c:pt idx="58">
                  <c:v>-303.75</c:v>
                </c:pt>
                <c:pt idx="59">
                  <c:v>-337.25</c:v>
                </c:pt>
                <c:pt idx="60">
                  <c:v>-344.84999999999997</c:v>
                </c:pt>
                <c:pt idx="61">
                  <c:v>-330.67500000000001</c:v>
                </c:pt>
                <c:pt idx="62">
                  <c:v>-337.17499999999995</c:v>
                </c:pt>
                <c:pt idx="63">
                  <c:v>-313.92500000000001</c:v>
                </c:pt>
                <c:pt idx="64">
                  <c:v>-324.55</c:v>
                </c:pt>
                <c:pt idx="65">
                  <c:v>-320.625</c:v>
                </c:pt>
                <c:pt idx="66">
                  <c:v>-341.9</c:v>
                </c:pt>
                <c:pt idx="67">
                  <c:v>-252.95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8D-4307-933F-0A828E797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383816"/>
        <c:axId val="495385784"/>
      </c:scatterChart>
      <c:valAx>
        <c:axId val="495383816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400" b="1" dirty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s-MX" sz="1400" b="1" baseline="0" dirty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s-MX" sz="1400" b="1" dirty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2171248526969346"/>
              <c:y val="0.948054639204635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5784"/>
        <c:crossesAt val="-450"/>
        <c:crossBetween val="midCat"/>
        <c:majorUnit val="8"/>
      </c:valAx>
      <c:valAx>
        <c:axId val="495385784"/>
        <c:scaling>
          <c:orientation val="minMax"/>
          <c:max val="-170"/>
          <c:min val="-3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400" b="1" dirty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Potencial óxido-reducción</a:t>
                </a:r>
                <a:r>
                  <a:rPr lang="es-MX" sz="1400" b="1" baseline="0" dirty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es-MX" sz="1400" b="1" dirty="0" err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mV</a:t>
                </a:r>
                <a:r>
                  <a:rPr lang="es-MX" sz="1400" b="1" dirty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872442182975799E-2"/>
              <c:y val="0.233110724163667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381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dirty="0" err="1"/>
              <a:t>Evolución</a:t>
            </a:r>
            <a:r>
              <a:rPr lang="en-US" sz="1800" dirty="0"/>
              <a:t> de la </a:t>
            </a:r>
            <a:r>
              <a:rPr lang="en-US" sz="1800" dirty="0" err="1"/>
              <a:t>conductividad</a:t>
            </a:r>
            <a:r>
              <a:rPr lang="en-US" sz="1800" dirty="0"/>
              <a:t> </a:t>
            </a:r>
            <a:r>
              <a:rPr lang="en-US" sz="1800" dirty="0" err="1"/>
              <a:t>Eléctrica</a:t>
            </a:r>
            <a:r>
              <a:rPr lang="en-US" sz="1800" dirty="0"/>
              <a:t> a </a:t>
            </a:r>
            <a:r>
              <a:rPr lang="es-MX" sz="1800" dirty="0"/>
              <a:t>37ºC</a:t>
            </a:r>
            <a:endParaRPr lang="en-US" sz="1800" dirty="0"/>
          </a:p>
          <a:p>
            <a:pPr>
              <a:defRPr sz="1800"/>
            </a:pPr>
            <a:endParaRPr lang="en-US" sz="1800" dirty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1655585950445114E-2"/>
          <c:y val="9.7631496196843998E-2"/>
          <c:w val="0.89079595949693757"/>
          <c:h val="0.79666206491679381"/>
        </c:manualLayout>
      </c:layout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'GRÁFICA CONDUCTIVIDAD ELÉCT (2'!$J$5:$J$75</c:f>
                <c:numCache>
                  <c:formatCode>General</c:formatCode>
                  <c:ptCount val="71"/>
                  <c:pt idx="0">
                    <c:v>0.52219887654672759</c:v>
                  </c:pt>
                  <c:pt idx="1">
                    <c:v>0.30880144645602536</c:v>
                  </c:pt>
                  <c:pt idx="2">
                    <c:v>0.48545511292669136</c:v>
                  </c:pt>
                  <c:pt idx="3">
                    <c:v>0.21087120871912984</c:v>
                  </c:pt>
                  <c:pt idx="4">
                    <c:v>0.39347808071098489</c:v>
                  </c:pt>
                  <c:pt idx="5">
                    <c:v>0.19172462891692729</c:v>
                  </c:pt>
                  <c:pt idx="6">
                    <c:v>0.12675435561221057</c:v>
                  </c:pt>
                  <c:pt idx="7">
                    <c:v>0.20607442021431621</c:v>
                  </c:pt>
                  <c:pt idx="8">
                    <c:v>0.23245071162148162</c:v>
                  </c:pt>
                  <c:pt idx="9">
                    <c:v>5.4160256030906122E-2</c:v>
                  </c:pt>
                  <c:pt idx="10">
                    <c:v>0.41416582830230353</c:v>
                  </c:pt>
                  <c:pt idx="11">
                    <c:v>7.8898669190297449E-2</c:v>
                  </c:pt>
                  <c:pt idx="12">
                    <c:v>0.61226355980628733</c:v>
                  </c:pt>
                  <c:pt idx="13">
                    <c:v>0.41644327344789722</c:v>
                  </c:pt>
                  <c:pt idx="14">
                    <c:v>0.65101843291876149</c:v>
                  </c:pt>
                  <c:pt idx="15">
                    <c:v>0.22905603390146037</c:v>
                  </c:pt>
                  <c:pt idx="16">
                    <c:v>0.14314910641239348</c:v>
                  </c:pt>
                  <c:pt idx="17">
                    <c:v>0.35967577992779398</c:v>
                  </c:pt>
                  <c:pt idx="18">
                    <c:v>0.30908467016876379</c:v>
                  </c:pt>
                  <c:pt idx="19">
                    <c:v>0.37106827763454331</c:v>
                  </c:pt>
                  <c:pt idx="20">
                    <c:v>0.32003906011610556</c:v>
                  </c:pt>
                  <c:pt idx="21">
                    <c:v>0.18832595855767328</c:v>
                  </c:pt>
                  <c:pt idx="22">
                    <c:v>0.25929391302792509</c:v>
                  </c:pt>
                  <c:pt idx="23">
                    <c:v>0.32458948432340445</c:v>
                  </c:pt>
                  <c:pt idx="24">
                    <c:v>0.34855654730139057</c:v>
                  </c:pt>
                  <c:pt idx="25">
                    <c:v>0.43223257628272327</c:v>
                  </c:pt>
                  <c:pt idx="26">
                    <c:v>6.1846584384264498E-2</c:v>
                  </c:pt>
                  <c:pt idx="27">
                    <c:v>7.5443135318374543E-2</c:v>
                  </c:pt>
                  <c:pt idx="28">
                    <c:v>0.42507842413684893</c:v>
                  </c:pt>
                  <c:pt idx="29">
                    <c:v>0.32948191654980558</c:v>
                  </c:pt>
                  <c:pt idx="30">
                    <c:v>0.19653244007033549</c:v>
                  </c:pt>
                  <c:pt idx="31">
                    <c:v>0.24179881444429507</c:v>
                  </c:pt>
                  <c:pt idx="32">
                    <c:v>0.3101075082397497</c:v>
                  </c:pt>
                  <c:pt idx="33">
                    <c:v>1.8929694486001368E-2</c:v>
                  </c:pt>
                  <c:pt idx="34">
                    <c:v>2.061552812808851E-2</c:v>
                  </c:pt>
                  <c:pt idx="35">
                    <c:v>2.6457513110646123E-2</c:v>
                  </c:pt>
                  <c:pt idx="36">
                    <c:v>2.6299556396766288E-2</c:v>
                  </c:pt>
                  <c:pt idx="37">
                    <c:v>0.18025444978326244</c:v>
                  </c:pt>
                  <c:pt idx="38">
                    <c:v>0.36519401236420446</c:v>
                  </c:pt>
                  <c:pt idx="39">
                    <c:v>1.290994448735778E-2</c:v>
                  </c:pt>
                  <c:pt idx="40">
                    <c:v>9.5742710775631769E-3</c:v>
                  </c:pt>
                  <c:pt idx="41">
                    <c:v>2.9860788111948453E-2</c:v>
                  </c:pt>
                  <c:pt idx="42">
                    <c:v>2.8284271247462134E-2</c:v>
                  </c:pt>
                  <c:pt idx="43">
                    <c:v>2.3629078131263352E-2</c:v>
                  </c:pt>
                  <c:pt idx="44">
                    <c:v>4.4999999999999866E-2</c:v>
                  </c:pt>
                  <c:pt idx="45">
                    <c:v>3.8729833462073884E-2</c:v>
                  </c:pt>
                  <c:pt idx="46">
                    <c:v>1.290994448735778E-2</c:v>
                  </c:pt>
                  <c:pt idx="47">
                    <c:v>2.081665999466174E-2</c:v>
                  </c:pt>
                  <c:pt idx="48">
                    <c:v>1.4142135623731487E-2</c:v>
                  </c:pt>
                  <c:pt idx="49">
                    <c:v>1.7078251276599572E-2</c:v>
                  </c:pt>
                  <c:pt idx="50">
                    <c:v>2.7537852736430512E-2</c:v>
                  </c:pt>
                  <c:pt idx="51">
                    <c:v>1.2583057392117647E-2</c:v>
                  </c:pt>
                  <c:pt idx="52">
                    <c:v>8.1649658092778112E-3</c:v>
                  </c:pt>
                  <c:pt idx="53">
                    <c:v>9.5742710775631769E-3</c:v>
                  </c:pt>
                  <c:pt idx="54">
                    <c:v>2.3629078131262537E-2</c:v>
                  </c:pt>
                  <c:pt idx="55">
                    <c:v>1.7078251276599746E-2</c:v>
                  </c:pt>
                  <c:pt idx="56">
                    <c:v>1.7078251276599746E-2</c:v>
                  </c:pt>
                  <c:pt idx="57">
                    <c:v>1.7320508075688402E-2</c:v>
                  </c:pt>
                  <c:pt idx="58">
                    <c:v>0.40491768710854498</c:v>
                  </c:pt>
                  <c:pt idx="59">
                    <c:v>0.37106827763454348</c:v>
                  </c:pt>
                  <c:pt idx="60">
                    <c:v>6.557438524301952E-2</c:v>
                  </c:pt>
                  <c:pt idx="61">
                    <c:v>0.18463928798245149</c:v>
                  </c:pt>
                  <c:pt idx="62">
                    <c:v>0.31628046625318695</c:v>
                  </c:pt>
                  <c:pt idx="63">
                    <c:v>1.2909944487357782E-2</c:v>
                  </c:pt>
                  <c:pt idx="64">
                    <c:v>0.14453949863849191</c:v>
                  </c:pt>
                  <c:pt idx="65">
                    <c:v>1.8257418583506123E-2</c:v>
                  </c:pt>
                  <c:pt idx="66">
                    <c:v>2.753785273643089E-2</c:v>
                  </c:pt>
                  <c:pt idx="67">
                    <c:v>4.1129875597510135E-2</c:v>
                  </c:pt>
                  <c:pt idx="68">
                    <c:v>0.68677992593454862</c:v>
                  </c:pt>
                  <c:pt idx="69">
                    <c:v>0.18571932227602658</c:v>
                  </c:pt>
                  <c:pt idx="70">
                    <c:v>0.24296776192189234</c:v>
                  </c:pt>
                </c:numCache>
              </c:numRef>
            </c:plus>
            <c:minus>
              <c:numRef>
                <c:f>'GRÁFICA CONDUCTIVIDAD ELÉCT (2'!$J$5:$J$75</c:f>
                <c:numCache>
                  <c:formatCode>General</c:formatCode>
                  <c:ptCount val="71"/>
                  <c:pt idx="0">
                    <c:v>0.52219887654672759</c:v>
                  </c:pt>
                  <c:pt idx="1">
                    <c:v>0.30880144645602536</c:v>
                  </c:pt>
                  <c:pt idx="2">
                    <c:v>0.48545511292669136</c:v>
                  </c:pt>
                  <c:pt idx="3">
                    <c:v>0.21087120871912984</c:v>
                  </c:pt>
                  <c:pt idx="4">
                    <c:v>0.39347808071098489</c:v>
                  </c:pt>
                  <c:pt idx="5">
                    <c:v>0.19172462891692729</c:v>
                  </c:pt>
                  <c:pt idx="6">
                    <c:v>0.12675435561221057</c:v>
                  </c:pt>
                  <c:pt idx="7">
                    <c:v>0.20607442021431621</c:v>
                  </c:pt>
                  <c:pt idx="8">
                    <c:v>0.23245071162148162</c:v>
                  </c:pt>
                  <c:pt idx="9">
                    <c:v>5.4160256030906122E-2</c:v>
                  </c:pt>
                  <c:pt idx="10">
                    <c:v>0.41416582830230353</c:v>
                  </c:pt>
                  <c:pt idx="11">
                    <c:v>7.8898669190297449E-2</c:v>
                  </c:pt>
                  <c:pt idx="12">
                    <c:v>0.61226355980628733</c:v>
                  </c:pt>
                  <c:pt idx="13">
                    <c:v>0.41644327344789722</c:v>
                  </c:pt>
                  <c:pt idx="14">
                    <c:v>0.65101843291876149</c:v>
                  </c:pt>
                  <c:pt idx="15">
                    <c:v>0.22905603390146037</c:v>
                  </c:pt>
                  <c:pt idx="16">
                    <c:v>0.14314910641239348</c:v>
                  </c:pt>
                  <c:pt idx="17">
                    <c:v>0.35967577992779398</c:v>
                  </c:pt>
                  <c:pt idx="18">
                    <c:v>0.30908467016876379</c:v>
                  </c:pt>
                  <c:pt idx="19">
                    <c:v>0.37106827763454331</c:v>
                  </c:pt>
                  <c:pt idx="20">
                    <c:v>0.32003906011610556</c:v>
                  </c:pt>
                  <c:pt idx="21">
                    <c:v>0.18832595855767328</c:v>
                  </c:pt>
                  <c:pt idx="22">
                    <c:v>0.25929391302792509</c:v>
                  </c:pt>
                  <c:pt idx="23">
                    <c:v>0.32458948432340445</c:v>
                  </c:pt>
                  <c:pt idx="24">
                    <c:v>0.34855654730139057</c:v>
                  </c:pt>
                  <c:pt idx="25">
                    <c:v>0.43223257628272327</c:v>
                  </c:pt>
                  <c:pt idx="26">
                    <c:v>6.1846584384264498E-2</c:v>
                  </c:pt>
                  <c:pt idx="27">
                    <c:v>7.5443135318374543E-2</c:v>
                  </c:pt>
                  <c:pt idx="28">
                    <c:v>0.42507842413684893</c:v>
                  </c:pt>
                  <c:pt idx="29">
                    <c:v>0.32948191654980558</c:v>
                  </c:pt>
                  <c:pt idx="30">
                    <c:v>0.19653244007033549</c:v>
                  </c:pt>
                  <c:pt idx="31">
                    <c:v>0.24179881444429507</c:v>
                  </c:pt>
                  <c:pt idx="32">
                    <c:v>0.3101075082397497</c:v>
                  </c:pt>
                  <c:pt idx="33">
                    <c:v>1.8929694486001368E-2</c:v>
                  </c:pt>
                  <c:pt idx="34">
                    <c:v>2.061552812808851E-2</c:v>
                  </c:pt>
                  <c:pt idx="35">
                    <c:v>2.6457513110646123E-2</c:v>
                  </c:pt>
                  <c:pt idx="36">
                    <c:v>2.6299556396766288E-2</c:v>
                  </c:pt>
                  <c:pt idx="37">
                    <c:v>0.18025444978326244</c:v>
                  </c:pt>
                  <c:pt idx="38">
                    <c:v>0.36519401236420446</c:v>
                  </c:pt>
                  <c:pt idx="39">
                    <c:v>1.290994448735778E-2</c:v>
                  </c:pt>
                  <c:pt idx="40">
                    <c:v>9.5742710775631769E-3</c:v>
                  </c:pt>
                  <c:pt idx="41">
                    <c:v>2.9860788111948453E-2</c:v>
                  </c:pt>
                  <c:pt idx="42">
                    <c:v>2.8284271247462134E-2</c:v>
                  </c:pt>
                  <c:pt idx="43">
                    <c:v>2.3629078131263352E-2</c:v>
                  </c:pt>
                  <c:pt idx="44">
                    <c:v>4.4999999999999866E-2</c:v>
                  </c:pt>
                  <c:pt idx="45">
                    <c:v>3.8729833462073884E-2</c:v>
                  </c:pt>
                  <c:pt idx="46">
                    <c:v>1.290994448735778E-2</c:v>
                  </c:pt>
                  <c:pt idx="47">
                    <c:v>2.081665999466174E-2</c:v>
                  </c:pt>
                  <c:pt idx="48">
                    <c:v>1.4142135623731487E-2</c:v>
                  </c:pt>
                  <c:pt idx="49">
                    <c:v>1.7078251276599572E-2</c:v>
                  </c:pt>
                  <c:pt idx="50">
                    <c:v>2.7537852736430512E-2</c:v>
                  </c:pt>
                  <c:pt idx="51">
                    <c:v>1.2583057392117647E-2</c:v>
                  </c:pt>
                  <c:pt idx="52">
                    <c:v>8.1649658092778112E-3</c:v>
                  </c:pt>
                  <c:pt idx="53">
                    <c:v>9.5742710775631769E-3</c:v>
                  </c:pt>
                  <c:pt idx="54">
                    <c:v>2.3629078131262537E-2</c:v>
                  </c:pt>
                  <c:pt idx="55">
                    <c:v>1.7078251276599746E-2</c:v>
                  </c:pt>
                  <c:pt idx="56">
                    <c:v>1.7078251276599746E-2</c:v>
                  </c:pt>
                  <c:pt idx="57">
                    <c:v>1.7320508075688402E-2</c:v>
                  </c:pt>
                  <c:pt idx="58">
                    <c:v>0.40491768710854498</c:v>
                  </c:pt>
                  <c:pt idx="59">
                    <c:v>0.37106827763454348</c:v>
                  </c:pt>
                  <c:pt idx="60">
                    <c:v>6.557438524301952E-2</c:v>
                  </c:pt>
                  <c:pt idx="61">
                    <c:v>0.18463928798245149</c:v>
                  </c:pt>
                  <c:pt idx="62">
                    <c:v>0.31628046625318695</c:v>
                  </c:pt>
                  <c:pt idx="63">
                    <c:v>1.2909944487357782E-2</c:v>
                  </c:pt>
                  <c:pt idx="64">
                    <c:v>0.14453949863849191</c:v>
                  </c:pt>
                  <c:pt idx="65">
                    <c:v>1.8257418583506123E-2</c:v>
                  </c:pt>
                  <c:pt idx="66">
                    <c:v>2.753785273643089E-2</c:v>
                  </c:pt>
                  <c:pt idx="67">
                    <c:v>4.1129875597510135E-2</c:v>
                  </c:pt>
                  <c:pt idx="68">
                    <c:v>0.68677992593454862</c:v>
                  </c:pt>
                  <c:pt idx="69">
                    <c:v>0.18571932227602658</c:v>
                  </c:pt>
                  <c:pt idx="70">
                    <c:v>0.24296776192189234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CONDUCTIVIDAD ELÉCT (2'!$B$5:$B$72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157</c:v>
                </c:pt>
              </c:numCache>
            </c:numRef>
          </c:xVal>
          <c:yVal>
            <c:numRef>
              <c:f>'GRÁFICA CONDUCTIVIDAD ELÉCT (2'!$I$5:$I$72</c:f>
              <c:numCache>
                <c:formatCode>General</c:formatCode>
                <c:ptCount val="68"/>
                <c:pt idx="0">
                  <c:v>4.1325000000000003</c:v>
                </c:pt>
                <c:pt idx="1">
                  <c:v>5.7625000000000002</c:v>
                </c:pt>
                <c:pt idx="2">
                  <c:v>8.01</c:v>
                </c:pt>
                <c:pt idx="3">
                  <c:v>8.370000000000001</c:v>
                </c:pt>
                <c:pt idx="4">
                  <c:v>8.5775000000000006</c:v>
                </c:pt>
                <c:pt idx="5">
                  <c:v>8.7274999999999991</c:v>
                </c:pt>
                <c:pt idx="6">
                  <c:v>8.82</c:v>
                </c:pt>
                <c:pt idx="7">
                  <c:v>8.57</c:v>
                </c:pt>
                <c:pt idx="8">
                  <c:v>8.6449999999999996</c:v>
                </c:pt>
                <c:pt idx="9">
                  <c:v>8.91</c:v>
                </c:pt>
                <c:pt idx="10">
                  <c:v>8.76</c:v>
                </c:pt>
                <c:pt idx="11">
                  <c:v>8.8625000000000007</c:v>
                </c:pt>
                <c:pt idx="12">
                  <c:v>9.120000000000001</c:v>
                </c:pt>
                <c:pt idx="13">
                  <c:v>9.0175000000000001</c:v>
                </c:pt>
                <c:pt idx="14">
                  <c:v>8.8374999999999986</c:v>
                </c:pt>
                <c:pt idx="15">
                  <c:v>9.39</c:v>
                </c:pt>
                <c:pt idx="16">
                  <c:v>9.4974999999999987</c:v>
                </c:pt>
                <c:pt idx="17">
                  <c:v>9.4749999999999996</c:v>
                </c:pt>
                <c:pt idx="18">
                  <c:v>9.61</c:v>
                </c:pt>
                <c:pt idx="19">
                  <c:v>9.3825000000000003</c:v>
                </c:pt>
                <c:pt idx="20">
                  <c:v>9.4824999999999999</c:v>
                </c:pt>
                <c:pt idx="21">
                  <c:v>9.51</c:v>
                </c:pt>
                <c:pt idx="22">
                  <c:v>9.3150000000000013</c:v>
                </c:pt>
                <c:pt idx="23">
                  <c:v>9.5025000000000013</c:v>
                </c:pt>
                <c:pt idx="24">
                  <c:v>9.7475000000000005</c:v>
                </c:pt>
                <c:pt idx="25">
                  <c:v>9.6375000000000011</c:v>
                </c:pt>
                <c:pt idx="26">
                  <c:v>9.7074999999999996</c:v>
                </c:pt>
                <c:pt idx="27">
                  <c:v>9.4675000000000011</c:v>
                </c:pt>
                <c:pt idx="28">
                  <c:v>9.5075000000000003</c:v>
                </c:pt>
                <c:pt idx="29">
                  <c:v>9.4124999999999996</c:v>
                </c:pt>
                <c:pt idx="30">
                  <c:v>9.2774999999999999</c:v>
                </c:pt>
                <c:pt idx="31">
                  <c:v>9.83</c:v>
                </c:pt>
                <c:pt idx="32">
                  <c:v>9.7750000000000004</c:v>
                </c:pt>
                <c:pt idx="33">
                  <c:v>10.022500000000001</c:v>
                </c:pt>
                <c:pt idx="34">
                  <c:v>10.0625</c:v>
                </c:pt>
                <c:pt idx="35">
                  <c:v>9.9350000000000005</c:v>
                </c:pt>
                <c:pt idx="36">
                  <c:v>9.9674999999999994</c:v>
                </c:pt>
                <c:pt idx="37">
                  <c:v>9.807500000000001</c:v>
                </c:pt>
                <c:pt idx="38">
                  <c:v>9.4250000000000007</c:v>
                </c:pt>
                <c:pt idx="39">
                  <c:v>10.004999999999999</c:v>
                </c:pt>
                <c:pt idx="40">
                  <c:v>10.0175</c:v>
                </c:pt>
                <c:pt idx="41">
                  <c:v>10.037500000000001</c:v>
                </c:pt>
                <c:pt idx="42">
                  <c:v>10.07</c:v>
                </c:pt>
                <c:pt idx="43">
                  <c:v>10.1975</c:v>
                </c:pt>
                <c:pt idx="44">
                  <c:v>10.1525</c:v>
                </c:pt>
                <c:pt idx="45">
                  <c:v>10.234999999999999</c:v>
                </c:pt>
                <c:pt idx="46">
                  <c:v>10.254999999999999</c:v>
                </c:pt>
                <c:pt idx="47">
                  <c:v>10.295</c:v>
                </c:pt>
                <c:pt idx="48">
                  <c:v>10.29</c:v>
                </c:pt>
                <c:pt idx="49">
                  <c:v>10.307500000000001</c:v>
                </c:pt>
                <c:pt idx="50">
                  <c:v>10.317499999999999</c:v>
                </c:pt>
                <c:pt idx="51">
                  <c:v>10.337499999999999</c:v>
                </c:pt>
                <c:pt idx="52">
                  <c:v>10.29</c:v>
                </c:pt>
                <c:pt idx="53">
                  <c:v>10.282499999999999</c:v>
                </c:pt>
                <c:pt idx="54">
                  <c:v>10.272500000000001</c:v>
                </c:pt>
                <c:pt idx="55">
                  <c:v>10.3025</c:v>
                </c:pt>
                <c:pt idx="56">
                  <c:v>10.3125</c:v>
                </c:pt>
                <c:pt idx="57">
                  <c:v>10.325000000000001</c:v>
                </c:pt>
                <c:pt idx="58">
                  <c:v>10.642500000000002</c:v>
                </c:pt>
                <c:pt idx="59">
                  <c:v>10.3775</c:v>
                </c:pt>
                <c:pt idx="60">
                  <c:v>10.385000000000002</c:v>
                </c:pt>
                <c:pt idx="61">
                  <c:v>10.452500000000001</c:v>
                </c:pt>
                <c:pt idx="62">
                  <c:v>10.224999999999998</c:v>
                </c:pt>
                <c:pt idx="63">
                  <c:v>10.244999999999999</c:v>
                </c:pt>
                <c:pt idx="64">
                  <c:v>10.2575</c:v>
                </c:pt>
                <c:pt idx="65">
                  <c:v>10.199999999999999</c:v>
                </c:pt>
                <c:pt idx="66">
                  <c:v>10.192499999999999</c:v>
                </c:pt>
                <c:pt idx="67">
                  <c:v>10.202500000000001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B6-4762-A269-A399C0507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858672"/>
        <c:axId val="805870736"/>
      </c:scatterChart>
      <c:valAx>
        <c:axId val="805858672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400" b="1" i="0" baseline="0">
                    <a:solidFill>
                      <a:schemeClr val="tx1"/>
                    </a:solidFill>
                    <a:effectLst/>
                  </a:rPr>
                  <a:t>Tiempo (días)</a:t>
                </a:r>
                <a:endParaRPr lang="en-US" sz="1400">
                  <a:solidFill>
                    <a:schemeClr val="tx1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05870736"/>
        <c:crosses val="autoZero"/>
        <c:crossBetween val="midCat"/>
        <c:majorUnit val="8"/>
      </c:valAx>
      <c:valAx>
        <c:axId val="805870736"/>
        <c:scaling>
          <c:orientation val="minMax"/>
          <c:max val="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 i="0" baseline="0">
                    <a:solidFill>
                      <a:schemeClr val="tx1"/>
                    </a:solidFill>
                    <a:effectLst/>
                  </a:rPr>
                  <a:t>Conductividad eléctrica (mS/cm)</a:t>
                </a:r>
                <a:endParaRPr lang="en-US" sz="1200">
                  <a:solidFill>
                    <a:schemeClr val="tx1"/>
                  </a:solidFill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/>
                </a:pPr>
                <a:endParaRPr lang="en-US" sz="12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058586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400">
                <a:solidFill>
                  <a:schemeClr val="tx1"/>
                </a:solidFill>
              </a:rPr>
              <a:t>CALIDAD</a:t>
            </a:r>
            <a:r>
              <a:rPr lang="es-MX" sz="1400" baseline="0">
                <a:solidFill>
                  <a:schemeClr val="tx1"/>
                </a:solidFill>
              </a:rPr>
              <a:t> DEL BIOGÁS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s-MX" sz="1100" baseline="0">
                <a:solidFill>
                  <a:schemeClr val="tx1"/>
                </a:solidFill>
              </a:rPr>
              <a:t>CORRIDA 1 reactor 1</a:t>
            </a:r>
            <a:endParaRPr lang="es-MX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332314440950598"/>
          <c:y val="3.5555541981499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noFill/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BIOGÁS'!$B$2:$B$16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</c:numCache>
            </c:numRef>
          </c:xVal>
          <c:yVal>
            <c:numRef>
              <c:f>'GRÁFICA CALIDAD BIOGÁS'!$C$2:$C$16</c:f>
              <c:numCache>
                <c:formatCode>General</c:formatCode>
                <c:ptCount val="15"/>
                <c:pt idx="0">
                  <c:v>0</c:v>
                </c:pt>
                <c:pt idx="1">
                  <c:v>6.3</c:v>
                </c:pt>
                <c:pt idx="2">
                  <c:v>16.899999999999999</c:v>
                </c:pt>
                <c:pt idx="3">
                  <c:v>19.7</c:v>
                </c:pt>
                <c:pt idx="4">
                  <c:v>20.2</c:v>
                </c:pt>
                <c:pt idx="5">
                  <c:v>26.1</c:v>
                </c:pt>
                <c:pt idx="6">
                  <c:v>32.700000000000003</c:v>
                </c:pt>
                <c:pt idx="7">
                  <c:v>37.1</c:v>
                </c:pt>
                <c:pt idx="8">
                  <c:v>42.6</c:v>
                </c:pt>
                <c:pt idx="9">
                  <c:v>50.9</c:v>
                </c:pt>
                <c:pt idx="10">
                  <c:v>59.8</c:v>
                </c:pt>
                <c:pt idx="11">
                  <c:v>64.8</c:v>
                </c:pt>
                <c:pt idx="12">
                  <c:v>68.599999999999994</c:v>
                </c:pt>
                <c:pt idx="13">
                  <c:v>70.8</c:v>
                </c:pt>
                <c:pt idx="14">
                  <c:v>72.7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BD-4B81-83D9-B8AC5089DCCF}"/>
            </c:ext>
          </c:extLst>
        </c:ser>
        <c:ser>
          <c:idx val="1"/>
          <c:order val="1"/>
          <c:spPr>
            <a:ln w="158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noFill/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BIOGÁS'!$B$2:$B$16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</c:numCache>
            </c:numRef>
          </c:xVal>
          <c:yVal>
            <c:numRef>
              <c:f>'GRÁFICA CALIDAD BIOGÁS'!$D$2:$D$16</c:f>
              <c:numCache>
                <c:formatCode>General</c:formatCode>
                <c:ptCount val="15"/>
                <c:pt idx="0">
                  <c:v>0</c:v>
                </c:pt>
                <c:pt idx="1">
                  <c:v>91.3</c:v>
                </c:pt>
                <c:pt idx="2">
                  <c:v>82.3</c:v>
                </c:pt>
                <c:pt idx="3">
                  <c:v>70.400000000000006</c:v>
                </c:pt>
                <c:pt idx="4">
                  <c:v>40.299999999999997</c:v>
                </c:pt>
                <c:pt idx="5">
                  <c:v>52.6</c:v>
                </c:pt>
                <c:pt idx="6">
                  <c:v>64.900000000000006</c:v>
                </c:pt>
                <c:pt idx="7">
                  <c:v>55.5</c:v>
                </c:pt>
                <c:pt idx="8">
                  <c:v>47.1</c:v>
                </c:pt>
                <c:pt idx="9">
                  <c:v>63.7</c:v>
                </c:pt>
                <c:pt idx="10">
                  <c:v>42.8</c:v>
                </c:pt>
                <c:pt idx="11">
                  <c:v>32.9</c:v>
                </c:pt>
                <c:pt idx="12">
                  <c:v>31.3</c:v>
                </c:pt>
                <c:pt idx="13">
                  <c:v>28.8</c:v>
                </c:pt>
                <c:pt idx="14">
                  <c:v>26.9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BD-4B81-83D9-B8AC5089D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90168"/>
        <c:axId val="343690496"/>
      </c:scatterChart>
      <c:valAx>
        <c:axId val="34369016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>
                    <a:solidFill>
                      <a:sysClr val="windowText" lastClr="000000"/>
                    </a:solidFill>
                  </a:rPr>
                  <a:t>DÍA</a:t>
                </a:r>
              </a:p>
            </c:rich>
          </c:tx>
          <c:layout>
            <c:manualLayout>
              <c:xMode val="edge"/>
              <c:yMode val="edge"/>
              <c:x val="0.45850334076869675"/>
              <c:y val="0.92822616277057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3690496"/>
        <c:crosses val="autoZero"/>
        <c:crossBetween val="midCat"/>
        <c:majorUnit val="2"/>
      </c:valAx>
      <c:valAx>
        <c:axId val="343690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>
                    <a:solidFill>
                      <a:sysClr val="windowText" lastClr="000000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3690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587530583652984"/>
          <c:y val="0.43892489407146335"/>
          <c:w val="0.1098316898254067"/>
          <c:h val="8.3233054997322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</a:rPr>
              <a:t>CALIDAD</a:t>
            </a:r>
            <a:r>
              <a:rPr lang="en-US" sz="1400" b="1" baseline="0">
                <a:solidFill>
                  <a:schemeClr val="tx1"/>
                </a:solidFill>
              </a:rPr>
              <a:t> DE BIOGÁS </a:t>
            </a:r>
          </a:p>
          <a:p>
            <a:pPr>
              <a:defRPr b="1">
                <a:solidFill>
                  <a:schemeClr val="tx1"/>
                </a:solidFill>
              </a:defRPr>
            </a:pPr>
            <a:r>
              <a:rPr lang="en-US" sz="1400" b="1" baseline="0">
                <a:solidFill>
                  <a:schemeClr val="tx1"/>
                </a:solidFill>
              </a:rPr>
              <a:t>CORRIDA 1 REACTOR 2</a:t>
            </a:r>
            <a:endParaRPr lang="en-US" sz="1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'GRÁFICA CALIDAD BIOGÁS'!$H$2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BIOGÁS'!$G$3:$G$17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</c:numCache>
            </c:numRef>
          </c:xVal>
          <c:yVal>
            <c:numRef>
              <c:f>'GRÁFICA CALIDAD BIOGÁS'!$H$3:$H$17</c:f>
              <c:numCache>
                <c:formatCode>General</c:formatCode>
                <c:ptCount val="15"/>
                <c:pt idx="0">
                  <c:v>6.8</c:v>
                </c:pt>
                <c:pt idx="1">
                  <c:v>15.8</c:v>
                </c:pt>
                <c:pt idx="2">
                  <c:v>18.2</c:v>
                </c:pt>
                <c:pt idx="3">
                  <c:v>19.3</c:v>
                </c:pt>
                <c:pt idx="4">
                  <c:v>25.3</c:v>
                </c:pt>
                <c:pt idx="5">
                  <c:v>30.2</c:v>
                </c:pt>
                <c:pt idx="6">
                  <c:v>36.5</c:v>
                </c:pt>
                <c:pt idx="7">
                  <c:v>42.6</c:v>
                </c:pt>
                <c:pt idx="8">
                  <c:v>49.2</c:v>
                </c:pt>
                <c:pt idx="9">
                  <c:v>58.9</c:v>
                </c:pt>
                <c:pt idx="10">
                  <c:v>63.3</c:v>
                </c:pt>
                <c:pt idx="11">
                  <c:v>65.8</c:v>
                </c:pt>
                <c:pt idx="12">
                  <c:v>69.3</c:v>
                </c:pt>
                <c:pt idx="13">
                  <c:v>68.599999999999994</c:v>
                </c:pt>
                <c:pt idx="14">
                  <c:v>68.900000000000006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C7-4B68-B63A-5C83F00B5235}"/>
            </c:ext>
          </c:extLst>
        </c:ser>
        <c:ser>
          <c:idx val="1"/>
          <c:order val="1"/>
          <c:tx>
            <c:strRef>
              <c:f>'GRÁFICA CALIDAD BIOGÁS'!$I$2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BIOGÁS'!$G$3:$G$17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</c:numCache>
            </c:numRef>
          </c:xVal>
          <c:yVal>
            <c:numRef>
              <c:f>'GRÁFICA CALIDAD BIOGÁS'!$I$3:$I$17</c:f>
              <c:numCache>
                <c:formatCode>General</c:formatCode>
                <c:ptCount val="15"/>
                <c:pt idx="0">
                  <c:v>91.3</c:v>
                </c:pt>
                <c:pt idx="1">
                  <c:v>80.400000000000006</c:v>
                </c:pt>
                <c:pt idx="2">
                  <c:v>58</c:v>
                </c:pt>
                <c:pt idx="3">
                  <c:v>48.1</c:v>
                </c:pt>
                <c:pt idx="4">
                  <c:v>40.299999999999997</c:v>
                </c:pt>
                <c:pt idx="5">
                  <c:v>50.5</c:v>
                </c:pt>
                <c:pt idx="6">
                  <c:v>41.5</c:v>
                </c:pt>
                <c:pt idx="7">
                  <c:v>42.1</c:v>
                </c:pt>
                <c:pt idx="8">
                  <c:v>51.5</c:v>
                </c:pt>
                <c:pt idx="9">
                  <c:v>39.200000000000003</c:v>
                </c:pt>
                <c:pt idx="10">
                  <c:v>28.5</c:v>
                </c:pt>
                <c:pt idx="11">
                  <c:v>30.2</c:v>
                </c:pt>
                <c:pt idx="12">
                  <c:v>27.3</c:v>
                </c:pt>
                <c:pt idx="13">
                  <c:v>36.700000000000003</c:v>
                </c:pt>
                <c:pt idx="14">
                  <c:v>33.5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C7-4B68-B63A-5C83F00B5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008079"/>
        <c:axId val="926008911"/>
      </c:scatterChart>
      <c:valAx>
        <c:axId val="926008079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/>
                    </a:solidFill>
                  </a:rPr>
                  <a:t>Dias</a:t>
                </a:r>
                <a:r>
                  <a:rPr lang="en-US" sz="1400" b="1" baseline="0">
                    <a:solidFill>
                      <a:schemeClr val="tx1"/>
                    </a:solidFill>
                  </a:rPr>
                  <a:t> </a:t>
                </a:r>
                <a:endParaRPr lang="en-US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6008911"/>
        <c:crosses val="autoZero"/>
        <c:crossBetween val="midCat"/>
        <c:majorUnit val="2"/>
      </c:valAx>
      <c:valAx>
        <c:axId val="9260089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  <a:latin typeface="Arial Black" panose="020B0A04020102020204" pitchFamily="34" charset="0"/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6008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912751531058614"/>
          <c:y val="0.34780037911927675"/>
          <c:w val="0.3106338582677165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Contenido de Metano (CH4</a:t>
            </a:r>
            <a:r>
              <a:rPr lang="en-US" sz="1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) en</a:t>
            </a:r>
            <a:r>
              <a:rPr lang="en-US" sz="1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Biogás a </a:t>
            </a:r>
            <a:r>
              <a:rPr lang="es-MX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37ºC</a:t>
            </a:r>
            <a:endParaRPr lang="en-US" sz="1400" b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4925385996868985"/>
          <c:y val="9.56028045697257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0995627157547259E-2"/>
          <c:y val="0.12748346960167523"/>
          <c:w val="0.90296127807375925"/>
          <c:h val="0.6890640216802727"/>
        </c:manualLayout>
      </c:layout>
      <c:scatterChart>
        <c:scatterStyle val="smoothMarker"/>
        <c:varyColors val="0"/>
        <c:ser>
          <c:idx val="2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8100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BIOGÁS'!$B$2:$B$69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'GRÁFICA CALIDAD BIOGÁS'!$J$2:$J$69</c:f>
              <c:numCache>
                <c:formatCode>General</c:formatCode>
                <c:ptCount val="68"/>
                <c:pt idx="0">
                  <c:v>0</c:v>
                </c:pt>
                <c:pt idx="1">
                  <c:v>6.55</c:v>
                </c:pt>
                <c:pt idx="2">
                  <c:v>16.350000000000001</c:v>
                </c:pt>
                <c:pt idx="3">
                  <c:v>18.95</c:v>
                </c:pt>
                <c:pt idx="4">
                  <c:v>19.75</c:v>
                </c:pt>
                <c:pt idx="5">
                  <c:v>25.700000000000003</c:v>
                </c:pt>
                <c:pt idx="6">
                  <c:v>31.450000000000003</c:v>
                </c:pt>
                <c:pt idx="7">
                  <c:v>36.799999999999997</c:v>
                </c:pt>
                <c:pt idx="8">
                  <c:v>42.6</c:v>
                </c:pt>
                <c:pt idx="9">
                  <c:v>50.05</c:v>
                </c:pt>
                <c:pt idx="10">
                  <c:v>59.349999999999994</c:v>
                </c:pt>
                <c:pt idx="11">
                  <c:v>64.05</c:v>
                </c:pt>
                <c:pt idx="12">
                  <c:v>67.199999999999989</c:v>
                </c:pt>
                <c:pt idx="13">
                  <c:v>70.05</c:v>
                </c:pt>
                <c:pt idx="14">
                  <c:v>70.650000000000006</c:v>
                </c:pt>
                <c:pt idx="15">
                  <c:v>69.050000000000011</c:v>
                </c:pt>
                <c:pt idx="16">
                  <c:v>62.05</c:v>
                </c:pt>
                <c:pt idx="17">
                  <c:v>67.25</c:v>
                </c:pt>
                <c:pt idx="18">
                  <c:v>70.400000000000006</c:v>
                </c:pt>
                <c:pt idx="19">
                  <c:v>72.699999999999989</c:v>
                </c:pt>
                <c:pt idx="20">
                  <c:v>73.75</c:v>
                </c:pt>
                <c:pt idx="21">
                  <c:v>71.650000000000006</c:v>
                </c:pt>
                <c:pt idx="22">
                  <c:v>69.900000000000006</c:v>
                </c:pt>
                <c:pt idx="23">
                  <c:v>72</c:v>
                </c:pt>
                <c:pt idx="24">
                  <c:v>69.75</c:v>
                </c:pt>
                <c:pt idx="25">
                  <c:v>67.25</c:v>
                </c:pt>
                <c:pt idx="26">
                  <c:v>66.95</c:v>
                </c:pt>
                <c:pt idx="27">
                  <c:v>67.5</c:v>
                </c:pt>
                <c:pt idx="28">
                  <c:v>67.449999999999989</c:v>
                </c:pt>
                <c:pt idx="29">
                  <c:v>68.150000000000006</c:v>
                </c:pt>
                <c:pt idx="30">
                  <c:v>65.95</c:v>
                </c:pt>
                <c:pt idx="31">
                  <c:v>66.400000000000006</c:v>
                </c:pt>
                <c:pt idx="32">
                  <c:v>69.25</c:v>
                </c:pt>
                <c:pt idx="33">
                  <c:v>65.8</c:v>
                </c:pt>
                <c:pt idx="34">
                  <c:v>68.05</c:v>
                </c:pt>
                <c:pt idx="35">
                  <c:v>69.699999999999989</c:v>
                </c:pt>
                <c:pt idx="36">
                  <c:v>65.199999999999989</c:v>
                </c:pt>
                <c:pt idx="37">
                  <c:v>66.099999999999994</c:v>
                </c:pt>
                <c:pt idx="38">
                  <c:v>70.199999999999989</c:v>
                </c:pt>
                <c:pt idx="39">
                  <c:v>67.300000000000011</c:v>
                </c:pt>
                <c:pt idx="40">
                  <c:v>65.75</c:v>
                </c:pt>
                <c:pt idx="41">
                  <c:v>61.7</c:v>
                </c:pt>
                <c:pt idx="42">
                  <c:v>61.95</c:v>
                </c:pt>
                <c:pt idx="43">
                  <c:v>59.75</c:v>
                </c:pt>
                <c:pt idx="44">
                  <c:v>68.25</c:v>
                </c:pt>
                <c:pt idx="45">
                  <c:v>69.800000000000011</c:v>
                </c:pt>
                <c:pt idx="46">
                  <c:v>69.150000000000006</c:v>
                </c:pt>
                <c:pt idx="47">
                  <c:v>61.75</c:v>
                </c:pt>
                <c:pt idx="48">
                  <c:v>58.1</c:v>
                </c:pt>
                <c:pt idx="49">
                  <c:v>63.650000000000006</c:v>
                </c:pt>
                <c:pt idx="50">
                  <c:v>62.95</c:v>
                </c:pt>
                <c:pt idx="51">
                  <c:v>58.75</c:v>
                </c:pt>
                <c:pt idx="52">
                  <c:v>57.4</c:v>
                </c:pt>
                <c:pt idx="53">
                  <c:v>60.5</c:v>
                </c:pt>
                <c:pt idx="54">
                  <c:v>58.8</c:v>
                </c:pt>
                <c:pt idx="55">
                  <c:v>57.6</c:v>
                </c:pt>
                <c:pt idx="56">
                  <c:v>56.85</c:v>
                </c:pt>
                <c:pt idx="57">
                  <c:v>55.5</c:v>
                </c:pt>
                <c:pt idx="58">
                  <c:v>54.85</c:v>
                </c:pt>
                <c:pt idx="59">
                  <c:v>52.5</c:v>
                </c:pt>
                <c:pt idx="60">
                  <c:v>54.65</c:v>
                </c:pt>
                <c:pt idx="61">
                  <c:v>56.3</c:v>
                </c:pt>
                <c:pt idx="62">
                  <c:v>52.5</c:v>
                </c:pt>
                <c:pt idx="63">
                  <c:v>48.7</c:v>
                </c:pt>
                <c:pt idx="64">
                  <c:v>52.75</c:v>
                </c:pt>
                <c:pt idx="65">
                  <c:v>53.2</c:v>
                </c:pt>
                <c:pt idx="66">
                  <c:v>18.3</c:v>
                </c:pt>
                <c:pt idx="67">
                  <c:v>9.8000000000000007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AC-48A6-BF07-67AE20A21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030463"/>
        <c:axId val="2036030879"/>
      </c:scatterChart>
      <c:valAx>
        <c:axId val="2036030463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8573325909744055"/>
              <c:y val="0.92167892282822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6030879"/>
        <c:crosses val="autoZero"/>
        <c:crossBetween val="midCat"/>
        <c:majorUnit val="8"/>
      </c:valAx>
      <c:valAx>
        <c:axId val="20360308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CH4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6030463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BIOGAS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ACUMULADO ML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676698296863169"/>
          <c:y val="1.6489983633366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651720350417398"/>
          <c:y val="9.840408553410776E-2"/>
          <c:w val="0.69356971428168501"/>
          <c:h val="0.7552380043484217"/>
        </c:manualLayout>
      </c:layout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BIOGÁS!$B$79:$B$106</c:f>
              <c:numCache>
                <c:formatCode>General</c:formatCode>
                <c:ptCount val="2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</c:numCache>
            </c:numRef>
          </c:xVal>
          <c:yVal>
            <c:numRef>
              <c:f>BIOGÁS!$K$3:$K$31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1891.2508007976396</c:v>
                </c:pt>
                <c:pt idx="7">
                  <c:v>4451.7602293957534</c:v>
                </c:pt>
                <c:pt idx="8">
                  <c:v>7158.3624723313478</c:v>
                </c:pt>
                <c:pt idx="9">
                  <c:v>10819.879035399277</c:v>
                </c:pt>
                <c:pt idx="10">
                  <c:v>15254.133288644853</c:v>
                </c:pt>
                <c:pt idx="11">
                  <c:v>24347.816664424237</c:v>
                </c:pt>
                <c:pt idx="12">
                  <c:v>33515.180782732677</c:v>
                </c:pt>
                <c:pt idx="13">
                  <c:v>39854.673910081969</c:v>
                </c:pt>
                <c:pt idx="14">
                  <c:v>46926.547247151153</c:v>
                </c:pt>
                <c:pt idx="15">
                  <c:v>56142.271876267208</c:v>
                </c:pt>
                <c:pt idx="16">
                  <c:v>67939.908560450887</c:v>
                </c:pt>
                <c:pt idx="17">
                  <c:v>80314.324589963959</c:v>
                </c:pt>
                <c:pt idx="18">
                  <c:v>93488.609081669842</c:v>
                </c:pt>
                <c:pt idx="19">
                  <c:v>107584.80392104121</c:v>
                </c:pt>
                <c:pt idx="20">
                  <c:v>122173.45220857607</c:v>
                </c:pt>
                <c:pt idx="21">
                  <c:v>137898.19128776054</c:v>
                </c:pt>
                <c:pt idx="22">
                  <c:v>154991.96915926284</c:v>
                </c:pt>
                <c:pt idx="23">
                  <c:v>171023.97766486602</c:v>
                </c:pt>
                <c:pt idx="24">
                  <c:v>183874.04982183222</c:v>
                </c:pt>
                <c:pt idx="25">
                  <c:v>196810.85683026892</c:v>
                </c:pt>
                <c:pt idx="26">
                  <c:v>213862.82711372682</c:v>
                </c:pt>
                <c:pt idx="27">
                  <c:v>231791.05542760392</c:v>
                </c:pt>
                <c:pt idx="28">
                  <c:v>252289.92857726821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6C-431E-88DC-D10355F464B9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BIOGÁS!$B$79:$B$109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</c:numCache>
            </c:numRef>
          </c:xVal>
          <c:yVal>
            <c:numRef>
              <c:f>BIOGÁS!$K$79:$K$107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7461.9855416544397</c:v>
                </c:pt>
                <c:pt idx="10">
                  <c:v>11299.357991588271</c:v>
                </c:pt>
                <c:pt idx="11">
                  <c:v>20761.704132453895</c:v>
                </c:pt>
                <c:pt idx="12">
                  <c:v>28243.129873087608</c:v>
                </c:pt>
                <c:pt idx="13">
                  <c:v>35551.117572371761</c:v>
                </c:pt>
                <c:pt idx="14">
                  <c:v>43345.806694154737</c:v>
                </c:pt>
                <c:pt idx="15">
                  <c:v>52928.741162809543</c:v>
                </c:pt>
                <c:pt idx="16">
                  <c:v>64523.935504336871</c:v>
                </c:pt>
                <c:pt idx="17">
                  <c:v>76308.146878824948</c:v>
                </c:pt>
                <c:pt idx="18">
                  <c:v>89308.224122732063</c:v>
                </c:pt>
                <c:pt idx="19">
                  <c:v>104175.42633199213</c:v>
                </c:pt>
                <c:pt idx="20">
                  <c:v>119703.38241275522</c:v>
                </c:pt>
                <c:pt idx="21">
                  <c:v>136195.74448173775</c:v>
                </c:pt>
                <c:pt idx="22">
                  <c:v>153267.70745044429</c:v>
                </c:pt>
                <c:pt idx="23">
                  <c:v>167223.44482786729</c:v>
                </c:pt>
                <c:pt idx="24">
                  <c:v>179527.59232347406</c:v>
                </c:pt>
                <c:pt idx="25">
                  <c:v>190401.30785303691</c:v>
                </c:pt>
                <c:pt idx="26">
                  <c:v>207085.4840009672</c:v>
                </c:pt>
                <c:pt idx="27">
                  <c:v>222730.81873336501</c:v>
                </c:pt>
                <c:pt idx="28">
                  <c:v>240094.64502066208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6C-431E-88DC-D10355F46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200240"/>
        <c:axId val="1411189840"/>
      </c:scatterChart>
      <c:valAx>
        <c:axId val="1411200240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11189840"/>
        <c:crosses val="autoZero"/>
        <c:crossBetween val="midCat"/>
        <c:majorUnit val="2"/>
      </c:valAx>
      <c:valAx>
        <c:axId val="1411189840"/>
        <c:scaling>
          <c:orientation val="minMax"/>
          <c:max val="40000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ML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BIOGAS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1120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de Biogás Acumulado </a:t>
            </a:r>
            <a:endParaRPr lang="en-US" sz="1600" b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6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CORRIDA 1</a:t>
            </a:r>
            <a:endParaRPr lang="en-US" sz="1600" b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6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5457662023016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522931556632344"/>
          <c:y val="0.15674446587637275"/>
          <c:w val="0.629801938219261"/>
          <c:h val="0.69812217961639045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91059039"/>
        <c:axId val="1191053215"/>
      </c:scatterChart>
      <c:valAx>
        <c:axId val="1191059039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91053215"/>
        <c:crosses val="autoZero"/>
        <c:crossBetween val="midCat"/>
        <c:majorUnit val="5"/>
      </c:valAx>
      <c:valAx>
        <c:axId val="1191053215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biogas (L)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91059039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70961578078617"/>
          <c:y val="0.10857076417031047"/>
          <c:w val="0.11194512416717141"/>
          <c:h val="8.7459892541843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Produccion</a:t>
            </a:r>
            <a:r>
              <a:rPr lang="en-US" baseline="0"/>
              <a:t> acumulada reactor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9"/>
          <c:order val="0"/>
          <c:tx>
            <c:v>Biogás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079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BIOGÁS!$B$79:$B$146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157</c:v>
                </c:pt>
              </c:numCache>
            </c:numRef>
          </c:xVal>
          <c:yVal>
            <c:numRef>
              <c:f>BIOGÁS!$L$79:$L$146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7.4619855416544398</c:v>
                </c:pt>
                <c:pt idx="10">
                  <c:v>11.299357991588272</c:v>
                </c:pt>
                <c:pt idx="11">
                  <c:v>20.761704132453897</c:v>
                </c:pt>
                <c:pt idx="12">
                  <c:v>28.243129873087607</c:v>
                </c:pt>
                <c:pt idx="13">
                  <c:v>35.551117572371759</c:v>
                </c:pt>
                <c:pt idx="14">
                  <c:v>43.345806694154739</c:v>
                </c:pt>
                <c:pt idx="15">
                  <c:v>52.928741162809544</c:v>
                </c:pt>
                <c:pt idx="16">
                  <c:v>64.523935504336876</c:v>
                </c:pt>
                <c:pt idx="17">
                  <c:v>76.308146878824942</c:v>
                </c:pt>
                <c:pt idx="18">
                  <c:v>89.308224122732057</c:v>
                </c:pt>
                <c:pt idx="19">
                  <c:v>104.17542633199213</c:v>
                </c:pt>
                <c:pt idx="20">
                  <c:v>119.70338241275522</c:v>
                </c:pt>
                <c:pt idx="21">
                  <c:v>136.19574448173776</c:v>
                </c:pt>
                <c:pt idx="22">
                  <c:v>153.26770745044428</c:v>
                </c:pt>
                <c:pt idx="23">
                  <c:v>167.2234448278673</c:v>
                </c:pt>
                <c:pt idx="24">
                  <c:v>179.52759232347407</c:v>
                </c:pt>
                <c:pt idx="25">
                  <c:v>190.40130785303691</c:v>
                </c:pt>
                <c:pt idx="26">
                  <c:v>207.0854840009672</c:v>
                </c:pt>
                <c:pt idx="27">
                  <c:v>222.73081873336503</c:v>
                </c:pt>
                <c:pt idx="28">
                  <c:v>240.09464502066209</c:v>
                </c:pt>
                <c:pt idx="29">
                  <c:v>257.21215717189966</c:v>
                </c:pt>
                <c:pt idx="30">
                  <c:v>274.51046150791143</c:v>
                </c:pt>
                <c:pt idx="31">
                  <c:v>291.66736535215591</c:v>
                </c:pt>
                <c:pt idx="32">
                  <c:v>306.91794654703989</c:v>
                </c:pt>
                <c:pt idx="33">
                  <c:v>324.07485039128431</c:v>
                </c:pt>
                <c:pt idx="34">
                  <c:v>345.04439953424981</c:v>
                </c:pt>
                <c:pt idx="35">
                  <c:v>364.10762602785479</c:v>
                </c:pt>
                <c:pt idx="36">
                  <c:v>377.45188457337821</c:v>
                </c:pt>
                <c:pt idx="37">
                  <c:v>388.88982046954123</c:v>
                </c:pt>
                <c:pt idx="38">
                  <c:v>405.21281011016328</c:v>
                </c:pt>
                <c:pt idx="39">
                  <c:v>409.85936961250667</c:v>
                </c:pt>
                <c:pt idx="40">
                  <c:v>411.76569226186717</c:v>
                </c:pt>
                <c:pt idx="41">
                  <c:v>415.19481412185797</c:v>
                </c:pt>
                <c:pt idx="42">
                  <c:v>417.96664480259898</c:v>
                </c:pt>
                <c:pt idx="43">
                  <c:v>417.76870000090145</c:v>
                </c:pt>
                <c:pt idx="44">
                  <c:v>436.41229408108609</c:v>
                </c:pt>
                <c:pt idx="45">
                  <c:v>453.91444362574998</c:v>
                </c:pt>
                <c:pt idx="46">
                  <c:v>470.27514863489307</c:v>
                </c:pt>
                <c:pt idx="47">
                  <c:v>485.35501386931338</c:v>
                </c:pt>
                <c:pt idx="48">
                  <c:v>502.22868427336397</c:v>
                </c:pt>
                <c:pt idx="49">
                  <c:v>517.39602845678007</c:v>
                </c:pt>
                <c:pt idx="50">
                  <c:v>529.51952973064476</c:v>
                </c:pt>
                <c:pt idx="51">
                  <c:v>547.89337705036075</c:v>
                </c:pt>
                <c:pt idx="52">
                  <c:v>565.49520314533447</c:v>
                </c:pt>
                <c:pt idx="53">
                  <c:v>578.18136337905014</c:v>
                </c:pt>
                <c:pt idx="54">
                  <c:v>582.70743538376905</c:v>
                </c:pt>
                <c:pt idx="55">
                  <c:v>594.50236225082563</c:v>
                </c:pt>
                <c:pt idx="56">
                  <c:v>610.10641977791045</c:v>
                </c:pt>
                <c:pt idx="57">
                  <c:v>628.17497604871255</c:v>
                </c:pt>
                <c:pt idx="58">
                  <c:v>639.39753144206702</c:v>
                </c:pt>
                <c:pt idx="59">
                  <c:v>656.74600314191514</c:v>
                </c:pt>
                <c:pt idx="60">
                  <c:v>674.21323898141668</c:v>
                </c:pt>
                <c:pt idx="61">
                  <c:v>679.97689255240323</c:v>
                </c:pt>
                <c:pt idx="62">
                  <c:v>700.77248857073027</c:v>
                </c:pt>
                <c:pt idx="63">
                  <c:v>703.95436191279748</c:v>
                </c:pt>
                <c:pt idx="64">
                  <c:v>710.35898260626698</c:v>
                </c:pt>
                <c:pt idx="65">
                  <c:v>704.26850682525298</c:v>
                </c:pt>
                <c:pt idx="66">
                  <c:v>707.79643994739422</c:v>
                </c:pt>
                <c:pt idx="67">
                  <c:v>708.93012351378115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7AD-45D0-8C4E-8AB395656BC2}"/>
            </c:ext>
          </c:extLst>
        </c:ser>
        <c:ser>
          <c:idx val="10"/>
          <c:order val="1"/>
          <c:tx>
            <c:v>Metano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10795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BIOGÁS!$B$79:$B$146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157</c:v>
                </c:pt>
              </c:numCache>
            </c:numRef>
          </c:xVal>
          <c:yVal>
            <c:numRef>
              <c:f>BIOGÁS!$W$79:$W$146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0.99244407704004034</c:v>
                </c:pt>
                <c:pt idx="10">
                  <c:v>1.5687275344988385</c:v>
                </c:pt>
                <c:pt idx="11">
                  <c:v>3.0680136424821645</c:v>
                </c:pt>
                <c:pt idx="12">
                  <c:v>4.3522663134427999</c:v>
                </c:pt>
                <c:pt idx="13">
                  <c:v>5.7695721597057021</c:v>
                </c:pt>
                <c:pt idx="14">
                  <c:v>7.2509996198156665</c:v>
                </c:pt>
                <c:pt idx="15">
                  <c:v>9.1680140942723671</c:v>
                </c:pt>
                <c:pt idx="16">
                  <c:v>11.37329251404385</c:v>
                </c:pt>
                <c:pt idx="17">
                  <c:v>13.60192718115055</c:v>
                </c:pt>
                <c:pt idx="18">
                  <c:v>15.949118705833012</c:v>
                </c:pt>
                <c:pt idx="19">
                  <c:v>18.261952235998219</c:v>
                </c:pt>
                <c:pt idx="20">
                  <c:v>20.462628204669326</c:v>
                </c:pt>
                <c:pt idx="21">
                  <c:v>21.920894235091914</c:v>
                </c:pt>
                <c:pt idx="22">
                  <c:v>23.565867943677375</c:v>
                </c:pt>
                <c:pt idx="23">
                  <c:v>29.014217810844222</c:v>
                </c:pt>
                <c:pt idx="24">
                  <c:v>33.391187290101328</c:v>
                </c:pt>
                <c:pt idx="25">
                  <c:v>37.217800200877043</c:v>
                </c:pt>
                <c:pt idx="26">
                  <c:v>42.961766251309747</c:v>
                </c:pt>
                <c:pt idx="27">
                  <c:v>47.974897070648922</c:v>
                </c:pt>
                <c:pt idx="28">
                  <c:v>53.545869622246947</c:v>
                </c:pt>
                <c:pt idx="29">
                  <c:v>59.326460370508251</c:v>
                </c:pt>
                <c:pt idx="30">
                  <c:v>65.055166732076302</c:v>
                </c:pt>
                <c:pt idx="31">
                  <c:v>70.64831738529999</c:v>
                </c:pt>
                <c:pt idx="32">
                  <c:v>75.970770222314499</c:v>
                </c:pt>
                <c:pt idx="33">
                  <c:v>81.658283846681542</c:v>
                </c:pt>
                <c:pt idx="34">
                  <c:v>88.798415329861285</c:v>
                </c:pt>
                <c:pt idx="35">
                  <c:v>95.432418149635808</c:v>
                </c:pt>
                <c:pt idx="36">
                  <c:v>99.809334952567511</c:v>
                </c:pt>
                <c:pt idx="37">
                  <c:v>103.80117458032838</c:v>
                </c:pt>
                <c:pt idx="38">
                  <c:v>109.64906448976284</c:v>
                </c:pt>
                <c:pt idx="39">
                  <c:v>111.15576736156119</c:v>
                </c:pt>
                <c:pt idx="40">
                  <c:v>111.78961964247355</c:v>
                </c:pt>
                <c:pt idx="41">
                  <c:v>112.80509034897909</c:v>
                </c:pt>
                <c:pt idx="42">
                  <c:v>113.60350645422103</c:v>
                </c:pt>
                <c:pt idx="43">
                  <c:v>113.63679609498568</c:v>
                </c:pt>
                <c:pt idx="44">
                  <c:v>120.17137582009038</c:v>
                </c:pt>
                <c:pt idx="45">
                  <c:v>126.40214105799073</c:v>
                </c:pt>
                <c:pt idx="46">
                  <c:v>132.08748604866796</c:v>
                </c:pt>
                <c:pt idx="47">
                  <c:v>137.00083745882711</c:v>
                </c:pt>
                <c:pt idx="48">
                  <c:v>142.12199642645646</c:v>
                </c:pt>
                <c:pt idx="49">
                  <c:v>147.11963633489205</c:v>
                </c:pt>
                <c:pt idx="50">
                  <c:v>151.09289924168766</c:v>
                </c:pt>
                <c:pt idx="51">
                  <c:v>156.78406538034679</c:v>
                </c:pt>
                <c:pt idx="52">
                  <c:v>162.13489422335854</c:v>
                </c:pt>
                <c:pt idx="53">
                  <c:v>166.11200545662842</c:v>
                </c:pt>
                <c:pt idx="54">
                  <c:v>167.63939315391301</c:v>
                </c:pt>
                <c:pt idx="55">
                  <c:v>171.11889657969465</c:v>
                </c:pt>
                <c:pt idx="56">
                  <c:v>175.7807030669853</c:v>
                </c:pt>
                <c:pt idx="57">
                  <c:v>180.99267717309027</c:v>
                </c:pt>
                <c:pt idx="58">
                  <c:v>184.19325350242866</c:v>
                </c:pt>
                <c:pt idx="59">
                  <c:v>188.92434435272912</c:v>
                </c:pt>
                <c:pt idx="60">
                  <c:v>193.93894109497614</c:v>
                </c:pt>
                <c:pt idx="61">
                  <c:v>195.72742231843716</c:v>
                </c:pt>
                <c:pt idx="62">
                  <c:v>201.55474763857441</c:v>
                </c:pt>
                <c:pt idx="63">
                  <c:v>202.29378947500345</c:v>
                </c:pt>
                <c:pt idx="64">
                  <c:v>204.03292536334948</c:v>
                </c:pt>
                <c:pt idx="65">
                  <c:v>202.25960687278513</c:v>
                </c:pt>
                <c:pt idx="66">
                  <c:v>203.23176847454266</c:v>
                </c:pt>
                <c:pt idx="67">
                  <c:v>203.3326663119511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87AD-45D0-8C4E-8AB395656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719424"/>
        <c:axId val="1042705696"/>
      </c:scatterChart>
      <c:valAx>
        <c:axId val="1042719424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2705696"/>
        <c:crosses val="autoZero"/>
        <c:crossBetween val="midCat"/>
        <c:majorUnit val="8"/>
      </c:valAx>
      <c:valAx>
        <c:axId val="1042705696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Produccion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(Kg</a:t>
                </a:r>
                <a:r>
                  <a:rPr lang="en-US" sz="1600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¯¹ SV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27194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40880619781931"/>
          <c:y val="0.10978991008015061"/>
          <c:w val="0.25413000007100517"/>
          <c:h val="0.14552978145086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Producción</a:t>
            </a:r>
            <a:r>
              <a:rPr lang="en-US" baseline="0"/>
              <a:t> de biogás </a:t>
            </a:r>
            <a:r>
              <a:rPr lang="es-ES_tradnl" sz="1400" b="0" i="0" u="none" strike="noStrike" baseline="0">
                <a:effectLst/>
              </a:rPr>
              <a:t>vs </a:t>
            </a:r>
            <a:r>
              <a:rPr lang="en-US" baseline="0"/>
              <a:t>metano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911779562953683E-2"/>
          <c:y val="8.8893584066126352E-2"/>
          <c:w val="0.89778670974277275"/>
          <c:h val="0.82841401625310263"/>
        </c:manualLayout>
      </c:layout>
      <c:scatterChart>
        <c:scatterStyle val="smoothMarker"/>
        <c:varyColors val="0"/>
        <c:ser>
          <c:idx val="0"/>
          <c:order val="0"/>
          <c:tx>
            <c:v>Producción de biogas (L)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BIOGÁS!$B$3:$B$70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BIOGÁS!$Q$3:$Q$70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0.94562540039881982</c:v>
                </c:pt>
                <c:pt idx="7">
                  <c:v>2.2258801146978766</c:v>
                </c:pt>
                <c:pt idx="8">
                  <c:v>3.5791812361656739</c:v>
                </c:pt>
                <c:pt idx="9">
                  <c:v>9.1409322885268587</c:v>
                </c:pt>
                <c:pt idx="10">
                  <c:v>13.276745640116562</c:v>
                </c:pt>
                <c:pt idx="11">
                  <c:v>22.554760398439065</c:v>
                </c:pt>
                <c:pt idx="12">
                  <c:v>30.879155327910141</c:v>
                </c:pt>
                <c:pt idx="13">
                  <c:v>37.702895741226868</c:v>
                </c:pt>
                <c:pt idx="14">
                  <c:v>45.136176970652947</c:v>
                </c:pt>
                <c:pt idx="15">
                  <c:v>54.535506519538373</c:v>
                </c:pt>
                <c:pt idx="16">
                  <c:v>66.231922032393882</c:v>
                </c:pt>
                <c:pt idx="17">
                  <c:v>78.311235734394444</c:v>
                </c:pt>
                <c:pt idx="18">
                  <c:v>91.398416602200939</c:v>
                </c:pt>
                <c:pt idx="19">
                  <c:v>105.88011512651667</c:v>
                </c:pt>
                <c:pt idx="20">
                  <c:v>120.93841731066564</c:v>
                </c:pt>
                <c:pt idx="21">
                  <c:v>137.04696788474917</c:v>
                </c:pt>
                <c:pt idx="22">
                  <c:v>154.12983830485356</c:v>
                </c:pt>
                <c:pt idx="23">
                  <c:v>169.12371124636667</c:v>
                </c:pt>
                <c:pt idx="24">
                  <c:v>181.70082107265313</c:v>
                </c:pt>
                <c:pt idx="25">
                  <c:v>193.60608234165292</c:v>
                </c:pt>
                <c:pt idx="26">
                  <c:v>210.47415555734699</c:v>
                </c:pt>
                <c:pt idx="27">
                  <c:v>227.26093708048447</c:v>
                </c:pt>
                <c:pt idx="28">
                  <c:v>246.19228679896514</c:v>
                </c:pt>
                <c:pt idx="29">
                  <c:v>264.54746683939527</c:v>
                </c:pt>
                <c:pt idx="30">
                  <c:v>282.99359729756617</c:v>
                </c:pt>
                <c:pt idx="31">
                  <c:v>301.10366246649096</c:v>
                </c:pt>
                <c:pt idx="32">
                  <c:v>318.165250178267</c:v>
                </c:pt>
                <c:pt idx="33">
                  <c:v>338.08632186408465</c:v>
                </c:pt>
                <c:pt idx="34">
                  <c:v>359.43713553692186</c:v>
                </c:pt>
                <c:pt idx="35">
                  <c:v>379.16757495780291</c:v>
                </c:pt>
                <c:pt idx="36">
                  <c:v>392.41651737085886</c:v>
                </c:pt>
                <c:pt idx="37">
                  <c:v>404.42635006182945</c:v>
                </c:pt>
                <c:pt idx="38">
                  <c:v>421.73819359907122</c:v>
                </c:pt>
                <c:pt idx="39">
                  <c:v>427.8985616412607</c:v>
                </c:pt>
                <c:pt idx="40">
                  <c:v>428.46544533373265</c:v>
                </c:pt>
                <c:pt idx="41">
                  <c:v>431.7071596030263</c:v>
                </c:pt>
                <c:pt idx="42">
                  <c:v>434.72745205293228</c:v>
                </c:pt>
                <c:pt idx="43">
                  <c:v>434.41476614392457</c:v>
                </c:pt>
                <c:pt idx="44">
                  <c:v>451.32769914607684</c:v>
                </c:pt>
                <c:pt idx="45">
                  <c:v>468.37274107569078</c:v>
                </c:pt>
                <c:pt idx="46">
                  <c:v>483.87736268319321</c:v>
                </c:pt>
                <c:pt idx="47">
                  <c:v>497.29929741375429</c:v>
                </c:pt>
                <c:pt idx="48">
                  <c:v>511.57814151401431</c:v>
                </c:pt>
                <c:pt idx="49">
                  <c:v>525.83286365880576</c:v>
                </c:pt>
                <c:pt idx="50">
                  <c:v>536.20443133286358</c:v>
                </c:pt>
                <c:pt idx="51">
                  <c:v>553.88596086184975</c:v>
                </c:pt>
                <c:pt idx="52">
                  <c:v>571.35774688970378</c:v>
                </c:pt>
                <c:pt idx="53">
                  <c:v>583.27504892743696</c:v>
                </c:pt>
                <c:pt idx="54">
                  <c:v>588.22441730545756</c:v>
                </c:pt>
                <c:pt idx="55">
                  <c:v>597.07061245575028</c:v>
                </c:pt>
                <c:pt idx="56">
                  <c:v>612.86275296794349</c:v>
                </c:pt>
                <c:pt idx="57">
                  <c:v>630.26762436383638</c:v>
                </c:pt>
                <c:pt idx="58">
                  <c:v>641.47595131377648</c:v>
                </c:pt>
                <c:pt idx="59">
                  <c:v>658.73671706598975</c:v>
                </c:pt>
                <c:pt idx="60">
                  <c:v>676.2107669185807</c:v>
                </c:pt>
                <c:pt idx="61">
                  <c:v>681.7658098825757</c:v>
                </c:pt>
                <c:pt idx="62">
                  <c:v>702.49053607744236</c:v>
                </c:pt>
                <c:pt idx="63">
                  <c:v>705.47109633114007</c:v>
                </c:pt>
                <c:pt idx="64">
                  <c:v>711.97602903158986</c:v>
                </c:pt>
                <c:pt idx="65">
                  <c:v>705.68080998065261</c:v>
                </c:pt>
                <c:pt idx="66">
                  <c:v>709.02459714431416</c:v>
                </c:pt>
                <c:pt idx="67">
                  <c:v>710.34722797176551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5B-4E07-826E-B8B37D44E47D}"/>
            </c:ext>
          </c:extLst>
        </c:ser>
        <c:ser>
          <c:idx val="1"/>
          <c:order val="1"/>
          <c:tx>
            <c:v>Producción de metano (L)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BIOGÁS!$B$3:$B$70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BIOGÁS!$AD$3:$AD$70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0.10496441944426901</c:v>
                </c:pt>
                <c:pt idx="7">
                  <c:v>0.2555124881663618</c:v>
                </c:pt>
                <c:pt idx="8">
                  <c:v>0.42959593731977563</c:v>
                </c:pt>
                <c:pt idx="9">
                  <c:v>1.1734905012444472</c:v>
                </c:pt>
                <c:pt idx="10">
                  <c:v>1.798339905019614</c:v>
                </c:pt>
                <c:pt idx="11">
                  <c:v>3.2772821829991274</c:v>
                </c:pt>
                <c:pt idx="12">
                  <c:v>4.7386323301067996</c:v>
                </c:pt>
                <c:pt idx="13">
                  <c:v>6.0697919920472856</c:v>
                </c:pt>
                <c:pt idx="14">
                  <c:v>7.5000495482780121</c:v>
                </c:pt>
                <c:pt idx="15">
                  <c:v>9.3731129662783488</c:v>
                </c:pt>
                <c:pt idx="16">
                  <c:v>11.611746410988715</c:v>
                </c:pt>
                <c:pt idx="17">
                  <c:v>13.907875157542868</c:v>
                </c:pt>
                <c:pt idx="18">
                  <c:v>16.25414429471186</c:v>
                </c:pt>
                <c:pt idx="19">
                  <c:v>18.46731988327193</c:v>
                </c:pt>
                <c:pt idx="20">
                  <c:v>20.57316382803236</c:v>
                </c:pt>
                <c:pt idx="21">
                  <c:v>21.963975597322175</c:v>
                </c:pt>
                <c:pt idx="22">
                  <c:v>23.559689339220881</c:v>
                </c:pt>
                <c:pt idx="23">
                  <c:v>29.205622145847705</c:v>
                </c:pt>
                <c:pt idx="24">
                  <c:v>33.758084995886591</c:v>
                </c:pt>
                <c:pt idx="25">
                  <c:v>37.818224127126562</c:v>
                </c:pt>
                <c:pt idx="26">
                  <c:v>43.500188509712302</c:v>
                </c:pt>
                <c:pt idx="27">
                  <c:v>49.10799292222211</c:v>
                </c:pt>
                <c:pt idx="28">
                  <c:v>55.233201433086691</c:v>
                </c:pt>
                <c:pt idx="29">
                  <c:v>61.495330438039005</c:v>
                </c:pt>
                <c:pt idx="30">
                  <c:v>67.561218486925711</c:v>
                </c:pt>
                <c:pt idx="31">
                  <c:v>73.579479090956781</c:v>
                </c:pt>
                <c:pt idx="32">
                  <c:v>79.482073568237809</c:v>
                </c:pt>
                <c:pt idx="33">
                  <c:v>86.029195733267898</c:v>
                </c:pt>
                <c:pt idx="34">
                  <c:v>93.293714769318299</c:v>
                </c:pt>
                <c:pt idx="35">
                  <c:v>100.17010651395896</c:v>
                </c:pt>
                <c:pt idx="36">
                  <c:v>104.48945237288015</c:v>
                </c:pt>
                <c:pt idx="37">
                  <c:v>108.44812198654199</c:v>
                </c:pt>
                <c:pt idx="38">
                  <c:v>114.5563882947511</c:v>
                </c:pt>
                <c:pt idx="39">
                  <c:v>116.48567667924274</c:v>
                </c:pt>
                <c:pt idx="40">
                  <c:v>116.75645185231154</c:v>
                </c:pt>
                <c:pt idx="41">
                  <c:v>117.74676766078255</c:v>
                </c:pt>
                <c:pt idx="42">
                  <c:v>118.62806125172591</c:v>
                </c:pt>
                <c:pt idx="43">
                  <c:v>118.61163942248953</c:v>
                </c:pt>
                <c:pt idx="44">
                  <c:v>124.42153881943062</c:v>
                </c:pt>
                <c:pt idx="45">
                  <c:v>130.34711605332049</c:v>
                </c:pt>
                <c:pt idx="46">
                  <c:v>135.70933712006732</c:v>
                </c:pt>
                <c:pt idx="47">
                  <c:v>139.92059861208554</c:v>
                </c:pt>
                <c:pt idx="48">
                  <c:v>144.09974289806965</c:v>
                </c:pt>
                <c:pt idx="49">
                  <c:v>148.62295713322163</c:v>
                </c:pt>
                <c:pt idx="50">
                  <c:v>152.00731845803637</c:v>
                </c:pt>
                <c:pt idx="51">
                  <c:v>157.16473713294346</c:v>
                </c:pt>
                <c:pt idx="52">
                  <c:v>162.16536022937453</c:v>
                </c:pt>
                <c:pt idx="53">
                  <c:v>165.77880153594464</c:v>
                </c:pt>
                <c:pt idx="54">
                  <c:v>167.28535510714568</c:v>
                </c:pt>
                <c:pt idx="55">
                  <c:v>169.85370043244728</c:v>
                </c:pt>
                <c:pt idx="56">
                  <c:v>174.34992395997699</c:v>
                </c:pt>
                <c:pt idx="57">
                  <c:v>179.18667411695054</c:v>
                </c:pt>
                <c:pt idx="58">
                  <c:v>182.21747923029329</c:v>
                </c:pt>
                <c:pt idx="59">
                  <c:v>186.79636596379623</c:v>
                </c:pt>
                <c:pt idx="60">
                  <c:v>191.5944140190152</c:v>
                </c:pt>
                <c:pt idx="61">
                  <c:v>193.14865091022409</c:v>
                </c:pt>
                <c:pt idx="62">
                  <c:v>198.78487326942155</c:v>
                </c:pt>
                <c:pt idx="63">
                  <c:v>199.38820030896699</c:v>
                </c:pt>
                <c:pt idx="64">
                  <c:v>201.14231219751929</c:v>
                </c:pt>
                <c:pt idx="65">
                  <c:v>199.34677869154854</c:v>
                </c:pt>
                <c:pt idx="66">
                  <c:v>200.26576884398395</c:v>
                </c:pt>
                <c:pt idx="67">
                  <c:v>200.38726193284842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5B-4E07-826E-B8B37D44E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374496"/>
        <c:axId val="1294376160"/>
      </c:scatterChart>
      <c:valAx>
        <c:axId val="1294374496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="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 b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6160"/>
        <c:crosses val="autoZero"/>
        <c:crossBetween val="midCat"/>
        <c:majorUnit val="8"/>
      </c:valAx>
      <c:valAx>
        <c:axId val="1294376160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biogas </a:t>
                </a:r>
                <a:r>
                  <a:rPr lang="es-ES_tradnl" sz="14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vs</a:t>
                </a:r>
                <a:r>
                  <a:rPr lang="en-US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metano (Kg¯¹ SV)</a:t>
                </a:r>
                <a:endParaRPr lang="en-US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449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000269548660612"/>
          <c:y val="0.11751090450609845"/>
          <c:w val="0.32674142632613262"/>
          <c:h val="8.3008065354801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POTENCIAL REDOX 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CORRIDA 1</a:t>
            </a:r>
          </a:p>
        </c:rich>
      </c:tx>
      <c:layout>
        <c:manualLayout>
          <c:xMode val="edge"/>
          <c:yMode val="edge"/>
          <c:x val="0.3936115385956262"/>
          <c:y val="1.225114657548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938057358355657"/>
          <c:y val="0.17597428241364421"/>
          <c:w val="0.78823840769903775"/>
          <c:h val="0.64773148148148152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0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REDOX (2)'!$B$4:$B$43</c:f>
              <c:numCache>
                <c:formatCode>General</c:formatCode>
                <c:ptCount val="40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</c:numCache>
            </c:numRef>
          </c:xVal>
          <c:yVal>
            <c:numRef>
              <c:f>'GRÁFICA REDOX (2)'!$E$4:$E$55</c:f>
              <c:numCache>
                <c:formatCode>General</c:formatCode>
                <c:ptCount val="5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B4-48EA-89F1-C48B442ED680}"/>
            </c:ext>
          </c:extLst>
        </c:ser>
        <c:ser>
          <c:idx val="3"/>
          <c:order val="1"/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0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REDOX (2)'!$B$4:$B$46</c:f>
              <c:numCache>
                <c:formatCode>General</c:formatCode>
                <c:ptCount val="43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</c:numCache>
            </c:numRef>
          </c:xVal>
          <c:yVal>
            <c:numRef>
              <c:f>'GRÁFICA REDOX (2)'!$I$4:$I$48</c:f>
              <c:numCache>
                <c:formatCode>General</c:formatCode>
                <c:ptCount val="4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B4-48EA-89F1-C48B442ED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383816"/>
        <c:axId val="495385784"/>
      </c:scatterChart>
      <c:valAx>
        <c:axId val="495383816"/>
        <c:scaling>
          <c:orientation val="minMax"/>
          <c:max val="1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</a:p>
            </c:rich>
          </c:tx>
          <c:layout>
            <c:manualLayout>
              <c:xMode val="edge"/>
              <c:yMode val="edge"/>
              <c:x val="0.5131766498827115"/>
              <c:y val="0.91039942274912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5784"/>
        <c:crossesAt val="-450"/>
        <c:crossBetween val="midCat"/>
        <c:majorUnit val="5"/>
      </c:valAx>
      <c:valAx>
        <c:axId val="495385784"/>
        <c:scaling>
          <c:orientation val="minMax"/>
          <c:min val="-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381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693353165893593"/>
          <c:y val="0.35092650672649045"/>
          <c:w val="0.34708306140496537"/>
          <c:h val="5.6432235842371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acumulada de biogás a diferente cargas organicas </a:t>
            </a:r>
            <a:endPara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543896835314527"/>
          <c:y val="6.367990538117232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588632944312494"/>
          <c:y val="0.11411348470967776"/>
          <c:w val="0.84387353176061852"/>
          <c:h val="0.78325079266336439"/>
        </c:manualLayout>
      </c:layout>
      <c:scatterChart>
        <c:scatterStyle val="smoothMarker"/>
        <c:varyColors val="0"/>
        <c:ser>
          <c:idx val="3"/>
          <c:order val="0"/>
          <c:tx>
            <c:v>Biogás</c:v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BIOGÁS!$B$12:$B$42</c:f>
              <c:numCache>
                <c:formatCode>General</c:formatCode>
                <c:ptCount val="31"/>
                <c:pt idx="0">
                  <c:v>21</c:v>
                </c:pt>
                <c:pt idx="1">
                  <c:v>23</c:v>
                </c:pt>
                <c:pt idx="2">
                  <c:v>26</c:v>
                </c:pt>
                <c:pt idx="3">
                  <c:v>28</c:v>
                </c:pt>
                <c:pt idx="4">
                  <c:v>30</c:v>
                </c:pt>
                <c:pt idx="5">
                  <c:v>33</c:v>
                </c:pt>
                <c:pt idx="6">
                  <c:v>35</c:v>
                </c:pt>
                <c:pt idx="7">
                  <c:v>37</c:v>
                </c:pt>
                <c:pt idx="8">
                  <c:v>40</c:v>
                </c:pt>
                <c:pt idx="9">
                  <c:v>42</c:v>
                </c:pt>
                <c:pt idx="10">
                  <c:v>44</c:v>
                </c:pt>
                <c:pt idx="11">
                  <c:v>47</c:v>
                </c:pt>
                <c:pt idx="12">
                  <c:v>49</c:v>
                </c:pt>
                <c:pt idx="13">
                  <c:v>51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BIOGÁS!$L$12:$L$42</c:f>
              <c:numCache>
                <c:formatCode>0.00</c:formatCode>
                <c:ptCount val="31"/>
                <c:pt idx="0">
                  <c:v>10.819879035399277</c:v>
                </c:pt>
                <c:pt idx="1">
                  <c:v>15.254133288644853</c:v>
                </c:pt>
                <c:pt idx="2">
                  <c:v>24.347816664424236</c:v>
                </c:pt>
                <c:pt idx="3">
                  <c:v>33.515180782732678</c:v>
                </c:pt>
                <c:pt idx="4">
                  <c:v>39.854673910081971</c:v>
                </c:pt>
                <c:pt idx="5">
                  <c:v>46.926547247151156</c:v>
                </c:pt>
                <c:pt idx="6">
                  <c:v>56.142271876267209</c:v>
                </c:pt>
                <c:pt idx="7">
                  <c:v>67.939908560450888</c:v>
                </c:pt>
                <c:pt idx="8">
                  <c:v>80.31432458996396</c:v>
                </c:pt>
                <c:pt idx="9">
                  <c:v>93.488609081669836</c:v>
                </c:pt>
                <c:pt idx="10">
                  <c:v>107.58480392104121</c:v>
                </c:pt>
                <c:pt idx="11">
                  <c:v>122.17345220857607</c:v>
                </c:pt>
                <c:pt idx="12">
                  <c:v>137.89819128776054</c:v>
                </c:pt>
                <c:pt idx="13">
                  <c:v>154.99196915926285</c:v>
                </c:pt>
                <c:pt idx="14">
                  <c:v>171.02397766486601</c:v>
                </c:pt>
                <c:pt idx="15">
                  <c:v>183.87404982183222</c:v>
                </c:pt>
                <c:pt idx="16">
                  <c:v>196.81085683026893</c:v>
                </c:pt>
                <c:pt idx="17">
                  <c:v>213.86282711372681</c:v>
                </c:pt>
                <c:pt idx="18">
                  <c:v>231.79105542760391</c:v>
                </c:pt>
                <c:pt idx="19">
                  <c:v>252.2899285772682</c:v>
                </c:pt>
                <c:pt idx="20">
                  <c:v>271.88277650689093</c:v>
                </c:pt>
                <c:pt idx="21">
                  <c:v>291.47673308722091</c:v>
                </c:pt>
                <c:pt idx="22">
                  <c:v>310.53995958082595</c:v>
                </c:pt>
                <c:pt idx="23">
                  <c:v>329.41255380949411</c:v>
                </c:pt>
                <c:pt idx="24">
                  <c:v>352.09779333688499</c:v>
                </c:pt>
                <c:pt idx="25">
                  <c:v>373.82987153959391</c:v>
                </c:pt>
                <c:pt idx="26">
                  <c:v>394.22752388775098</c:v>
                </c:pt>
                <c:pt idx="27">
                  <c:v>407.38115016833945</c:v>
                </c:pt>
                <c:pt idx="28">
                  <c:v>419.96287965411767</c:v>
                </c:pt>
                <c:pt idx="29">
                  <c:v>438.26357708797917</c:v>
                </c:pt>
                <c:pt idx="30">
                  <c:v>445.93775367001467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692-483F-B4D9-639C06875B13}"/>
            </c:ext>
          </c:extLst>
        </c:ser>
        <c:ser>
          <c:idx val="4"/>
          <c:order val="1"/>
          <c:tx>
            <c:v>Biogás</c:v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BIOGÁS!$B$42:$B$56</c:f>
              <c:numCache>
                <c:formatCode>General</c:formatCode>
                <c:ptCount val="15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  <c:pt idx="14">
                  <c:v>124</c:v>
                </c:pt>
              </c:numCache>
            </c:numRef>
          </c:xVal>
          <c:yVal>
            <c:numRef>
              <c:f>BIOGÁS!$O$43:$O$56</c:f>
              <c:numCache>
                <c:formatCode>0.00</c:formatCode>
                <c:ptCount val="14"/>
                <c:pt idx="0">
                  <c:v>0</c:v>
                </c:pt>
                <c:pt idx="1">
                  <c:v>18.039192028753973</c:v>
                </c:pt>
                <c:pt idx="2">
                  <c:v>33.212098553033798</c:v>
                </c:pt>
                <c:pt idx="3">
                  <c:v>49.919218874524745</c:v>
                </c:pt>
                <c:pt idx="4">
                  <c:v>64.834623939515495</c:v>
                </c:pt>
                <c:pt idx="5">
                  <c:v>79.292921389456296</c:v>
                </c:pt>
                <c:pt idx="6">
                  <c:v>92.895135437756437</c:v>
                </c:pt>
                <c:pt idx="7">
                  <c:v>104.8394189821974</c:v>
                </c:pt>
                <c:pt idx="8">
                  <c:v>114.1888762228478</c:v>
                </c:pt>
                <c:pt idx="9">
                  <c:v>122.62571142487349</c:v>
                </c:pt>
                <c:pt idx="10">
                  <c:v>129.31061302709242</c:v>
                </c:pt>
                <c:pt idx="11">
                  <c:v>135.3031968385813</c:v>
                </c:pt>
                <c:pt idx="12">
                  <c:v>141.1657405829506</c:v>
                </c:pt>
                <c:pt idx="13">
                  <c:v>152.3141844247013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1692-483F-B4D9-639C06875B13}"/>
            </c:ext>
          </c:extLst>
        </c:ser>
        <c:ser>
          <c:idx val="5"/>
          <c:order val="2"/>
          <c:tx>
            <c:v>Biogás</c:v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BIOGÁS!$B$56:$B$70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BIOGÁS!$P$54:$P$71</c:f>
              <c:numCache>
                <c:formatCode>0.00</c:formatCode>
                <c:ptCount val="18"/>
                <c:pt idx="0">
                  <c:v>0</c:v>
                </c:pt>
                <c:pt idx="1">
                  <c:v>5.8625437443693045</c:v>
                </c:pt>
                <c:pt idx="2">
                  <c:v>11.855127555858189</c:v>
                </c:pt>
                <c:pt idx="3">
                  <c:v>16.521108593073109</c:v>
                </c:pt>
                <c:pt idx="4">
                  <c:v>28.281115770971155</c:v>
                </c:pt>
                <c:pt idx="5">
                  <c:v>38.398795523903459</c:v>
                </c:pt>
                <c:pt idx="6">
                  <c:v>43.991538203136429</c:v>
                </c:pt>
                <c:pt idx="7">
                  <c:v>49.812971958339858</c:v>
                </c:pt>
                <c:pt idx="8">
                  <c:v>72.358696514240592</c:v>
                </c:pt>
                <c:pt idx="9">
                  <c:v>84.466895628598536</c:v>
                </c:pt>
                <c:pt idx="10">
                  <c:v>89.813327985601973</c:v>
                </c:pt>
                <c:pt idx="11">
                  <c:v>104.56972092347962</c:v>
                </c:pt>
                <c:pt idx="12">
                  <c:v>113.24643152233648</c:v>
                </c:pt>
                <c:pt idx="13">
                  <c:v>119.85167622976655</c:v>
                </c:pt>
                <c:pt idx="14">
                  <c:v>126.35163855062717</c:v>
                </c:pt>
                <c:pt idx="15">
                  <c:v>129.51127975580903</c:v>
                </c:pt>
                <c:pt idx="16">
                  <c:v>134.88394450713145</c:v>
                </c:pt>
                <c:pt idx="17">
                  <c:v>133.37236641861557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1692-483F-B4D9-639C06875B13}"/>
            </c:ext>
          </c:extLst>
        </c:ser>
        <c:ser>
          <c:idx val="0"/>
          <c:order val="3"/>
          <c:tx>
            <c:v>Metano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BIOGÁS!$B$12:$B$42</c:f>
              <c:numCache>
                <c:formatCode>General</c:formatCode>
                <c:ptCount val="31"/>
                <c:pt idx="0">
                  <c:v>21</c:v>
                </c:pt>
                <c:pt idx="1">
                  <c:v>23</c:v>
                </c:pt>
                <c:pt idx="2">
                  <c:v>26</c:v>
                </c:pt>
                <c:pt idx="3">
                  <c:v>28</c:v>
                </c:pt>
                <c:pt idx="4">
                  <c:v>30</c:v>
                </c:pt>
                <c:pt idx="5">
                  <c:v>33</c:v>
                </c:pt>
                <c:pt idx="6">
                  <c:v>35</c:v>
                </c:pt>
                <c:pt idx="7">
                  <c:v>37</c:v>
                </c:pt>
                <c:pt idx="8">
                  <c:v>40</c:v>
                </c:pt>
                <c:pt idx="9">
                  <c:v>42</c:v>
                </c:pt>
                <c:pt idx="10">
                  <c:v>44</c:v>
                </c:pt>
                <c:pt idx="11">
                  <c:v>47</c:v>
                </c:pt>
                <c:pt idx="12">
                  <c:v>49</c:v>
                </c:pt>
                <c:pt idx="13">
                  <c:v>51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BIOGÁS!$X$12:$X$42</c:f>
              <c:numCache>
                <c:formatCode>0.00</c:formatCode>
                <c:ptCount val="31"/>
                <c:pt idx="0">
                  <c:v>1.1734905012444472</c:v>
                </c:pt>
                <c:pt idx="1">
                  <c:v>1.798339905019614</c:v>
                </c:pt>
                <c:pt idx="2">
                  <c:v>3.2772821829991274</c:v>
                </c:pt>
                <c:pt idx="3">
                  <c:v>4.7386323301067996</c:v>
                </c:pt>
                <c:pt idx="4">
                  <c:v>6.0697919920472856</c:v>
                </c:pt>
                <c:pt idx="5">
                  <c:v>7.5000495482780121</c:v>
                </c:pt>
                <c:pt idx="6">
                  <c:v>9.3731129662783488</c:v>
                </c:pt>
                <c:pt idx="7">
                  <c:v>11.611746410988715</c:v>
                </c:pt>
                <c:pt idx="8">
                  <c:v>13.907875157542868</c:v>
                </c:pt>
                <c:pt idx="9">
                  <c:v>16.25414429471186</c:v>
                </c:pt>
                <c:pt idx="10">
                  <c:v>18.46731988327193</c:v>
                </c:pt>
                <c:pt idx="11">
                  <c:v>20.57316382803236</c:v>
                </c:pt>
                <c:pt idx="12">
                  <c:v>21.963975597322175</c:v>
                </c:pt>
                <c:pt idx="13">
                  <c:v>23.559689339220881</c:v>
                </c:pt>
                <c:pt idx="14">
                  <c:v>29.205622145847705</c:v>
                </c:pt>
                <c:pt idx="15">
                  <c:v>33.758084995886591</c:v>
                </c:pt>
                <c:pt idx="16">
                  <c:v>37.818224127126562</c:v>
                </c:pt>
                <c:pt idx="17">
                  <c:v>43.500188509712302</c:v>
                </c:pt>
                <c:pt idx="18">
                  <c:v>49.10799292222211</c:v>
                </c:pt>
                <c:pt idx="19">
                  <c:v>55.233201433086691</c:v>
                </c:pt>
                <c:pt idx="20">
                  <c:v>61.495330438039005</c:v>
                </c:pt>
                <c:pt idx="21">
                  <c:v>67.561218486925711</c:v>
                </c:pt>
                <c:pt idx="22">
                  <c:v>73.579479090956781</c:v>
                </c:pt>
                <c:pt idx="23">
                  <c:v>79.482073568237809</c:v>
                </c:pt>
                <c:pt idx="24">
                  <c:v>86.029195733267898</c:v>
                </c:pt>
                <c:pt idx="25">
                  <c:v>93.293714769318299</c:v>
                </c:pt>
                <c:pt idx="26">
                  <c:v>100.17010651395896</c:v>
                </c:pt>
                <c:pt idx="27">
                  <c:v>104.48945237288015</c:v>
                </c:pt>
                <c:pt idx="28">
                  <c:v>108.44812198654199</c:v>
                </c:pt>
                <c:pt idx="29">
                  <c:v>114.5563882947511</c:v>
                </c:pt>
                <c:pt idx="30">
                  <c:v>116.48567667924274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692-483F-B4D9-639C06875B13}"/>
            </c:ext>
          </c:extLst>
        </c:ser>
        <c:ser>
          <c:idx val="1"/>
          <c:order val="4"/>
          <c:tx>
            <c:v>Metano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BIOGÁS!$B$42:$B$56</c:f>
              <c:numCache>
                <c:formatCode>General</c:formatCode>
                <c:ptCount val="15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  <c:pt idx="14">
                  <c:v>124</c:v>
                </c:pt>
              </c:numCache>
            </c:numRef>
          </c:xVal>
          <c:yVal>
            <c:numRef>
              <c:f>(BIOGÁS!$Z$42:$Z$57,BIOGÁS!$Z$57:$Z$70)</c:f>
              <c:numCache>
                <c:formatCode>0.00</c:formatCode>
                <c:ptCount val="30"/>
                <c:pt idx="0">
                  <c:v>0</c:v>
                </c:pt>
                <c:pt idx="1">
                  <c:v>0.27077517306879884</c:v>
                </c:pt>
                <c:pt idx="2">
                  <c:v>1.2610909815398088</c:v>
                </c:pt>
                <c:pt idx="3">
                  <c:v>2.1423845724831665</c:v>
                </c:pt>
                <c:pt idx="4">
                  <c:v>2.125962743246788</c:v>
                </c:pt>
                <c:pt idx="5">
                  <c:v>7.9358621401878793</c:v>
                </c:pt>
                <c:pt idx="6">
                  <c:v>13.861439374077747</c:v>
                </c:pt>
                <c:pt idx="7">
                  <c:v>19.223660440824574</c:v>
                </c:pt>
                <c:pt idx="8">
                  <c:v>23.434921932842798</c:v>
                </c:pt>
                <c:pt idx="9">
                  <c:v>27.614066218826906</c:v>
                </c:pt>
                <c:pt idx="10">
                  <c:v>32.137280453978889</c:v>
                </c:pt>
                <c:pt idx="11">
                  <c:v>35.521641778793622</c:v>
                </c:pt>
                <c:pt idx="12">
                  <c:v>40.679060453700714</c:v>
                </c:pt>
                <c:pt idx="13">
                  <c:v>45.679683550131784</c:v>
                </c:pt>
                <c:pt idx="14">
                  <c:v>49.293124856701894</c:v>
                </c:pt>
                <c:pt idx="15">
                  <c:v>0</c:v>
                </c:pt>
                <c:pt idx="16">
                  <c:v>0</c:v>
                </c:pt>
                <c:pt idx="17">
                  <c:v>4.0748988965026456</c:v>
                </c:pt>
                <c:pt idx="18">
                  <c:v>8.5711224240323531</c:v>
                </c:pt>
                <c:pt idx="19">
                  <c:v>11.901319009804865</c:v>
                </c:pt>
                <c:pt idx="20">
                  <c:v>14.932124123147617</c:v>
                </c:pt>
                <c:pt idx="21">
                  <c:v>21.017564427851596</c:v>
                </c:pt>
                <c:pt idx="22">
                  <c:v>25.815612483070566</c:v>
                </c:pt>
                <c:pt idx="23">
                  <c:v>27.369849374279454</c:v>
                </c:pt>
                <c:pt idx="24">
                  <c:v>28.93117283697427</c:v>
                </c:pt>
                <c:pt idx="25">
                  <c:v>33.609398773022349</c:v>
                </c:pt>
                <c:pt idx="26">
                  <c:v>35.363510661574651</c:v>
                </c:pt>
                <c:pt idx="27">
                  <c:v>33.567977155603899</c:v>
                </c:pt>
                <c:pt idx="28">
                  <c:v>34.486967308039311</c:v>
                </c:pt>
                <c:pt idx="29">
                  <c:v>34.60846039690378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692-483F-B4D9-639C06875B13}"/>
            </c:ext>
          </c:extLst>
        </c:ser>
        <c:ser>
          <c:idx val="2"/>
          <c:order val="5"/>
          <c:tx>
            <c:v>Metano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BIOGÁS!$B$56:$B$70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BIOGÁS!$Z$57:$Z$70</c:f>
              <c:numCache>
                <c:formatCode>0.00</c:formatCode>
                <c:ptCount val="14"/>
                <c:pt idx="0">
                  <c:v>0</c:v>
                </c:pt>
                <c:pt idx="1">
                  <c:v>4.0748988965026456</c:v>
                </c:pt>
                <c:pt idx="2">
                  <c:v>8.5711224240323531</c:v>
                </c:pt>
                <c:pt idx="3">
                  <c:v>11.901319009804865</c:v>
                </c:pt>
                <c:pt idx="4">
                  <c:v>14.932124123147617</c:v>
                </c:pt>
                <c:pt idx="5">
                  <c:v>21.017564427851596</c:v>
                </c:pt>
                <c:pt idx="6">
                  <c:v>25.815612483070566</c:v>
                </c:pt>
                <c:pt idx="7">
                  <c:v>27.369849374279454</c:v>
                </c:pt>
                <c:pt idx="8">
                  <c:v>28.93117283697427</c:v>
                </c:pt>
                <c:pt idx="9">
                  <c:v>33.609398773022349</c:v>
                </c:pt>
                <c:pt idx="10">
                  <c:v>35.363510661574651</c:v>
                </c:pt>
                <c:pt idx="11">
                  <c:v>33.567977155603899</c:v>
                </c:pt>
                <c:pt idx="12">
                  <c:v>34.486967308039311</c:v>
                </c:pt>
                <c:pt idx="13">
                  <c:v>34.60846039690378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692-483F-B4D9-639C06875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121983"/>
        <c:axId val="1534118239"/>
      </c:scatterChart>
      <c:valAx>
        <c:axId val="1534121983"/>
        <c:scaling>
          <c:orientation val="minMax"/>
          <c:max val="157"/>
          <c:min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1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(dias)</a:t>
                </a:r>
                <a:endParaRPr lang="en-US" sz="11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34118239"/>
        <c:crosses val="autoZero"/>
        <c:crossBetween val="midCat"/>
        <c:majorUnit val="4"/>
      </c:valAx>
      <c:valAx>
        <c:axId val="1534118239"/>
        <c:scaling>
          <c:orientation val="minMax"/>
          <c:max val="4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acumulada  de metano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157275906189406E-2"/>
              <c:y val="0.277125894224772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34121983"/>
        <c:crosses val="autoZero"/>
        <c:crossBetween val="midCat"/>
        <c:majorUnit val="50"/>
      </c:valAx>
    </c:plotArea>
    <c:legend>
      <c:legendPos val="r"/>
      <c:layout>
        <c:manualLayout>
          <c:xMode val="edge"/>
          <c:yMode val="edge"/>
          <c:x val="0.93342838938827333"/>
          <c:y val="0.12123707732960101"/>
          <c:w val="4.6946240035755975E-2"/>
          <c:h val="0.209990184127241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Producción acumulada de biogás &amp; metano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en carga media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3107923239074011E-2"/>
          <c:y val="0.11414831438853552"/>
          <c:w val="0.81421504504905029"/>
          <c:h val="0.7816670249343772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BIOGÁS!$B$42:$B$56</c:f>
              <c:numCache>
                <c:formatCode>General</c:formatCode>
                <c:ptCount val="15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  <c:pt idx="14">
                  <c:v>124</c:v>
                </c:pt>
              </c:numCache>
            </c:numRef>
          </c:xVal>
          <c:yVal>
            <c:numRef>
              <c:f>BIOGÁS!$Q$42:$Q$56</c:f>
              <c:numCache>
                <c:formatCode>0.00</c:formatCode>
                <c:ptCount val="15"/>
                <c:pt idx="0">
                  <c:v>427.8985616412607</c:v>
                </c:pt>
                <c:pt idx="1">
                  <c:v>428.46544533373265</c:v>
                </c:pt>
                <c:pt idx="2">
                  <c:v>431.7071596030263</c:v>
                </c:pt>
                <c:pt idx="3">
                  <c:v>434.72745205293228</c:v>
                </c:pt>
                <c:pt idx="4">
                  <c:v>434.41476614392457</c:v>
                </c:pt>
                <c:pt idx="5">
                  <c:v>451.32769914607684</c:v>
                </c:pt>
                <c:pt idx="6">
                  <c:v>468.37274107569078</c:v>
                </c:pt>
                <c:pt idx="7">
                  <c:v>483.87736268319321</c:v>
                </c:pt>
                <c:pt idx="8">
                  <c:v>497.29929741375429</c:v>
                </c:pt>
                <c:pt idx="9">
                  <c:v>511.57814151401431</c:v>
                </c:pt>
                <c:pt idx="10">
                  <c:v>525.83286365880576</c:v>
                </c:pt>
                <c:pt idx="11">
                  <c:v>536.20443133286358</c:v>
                </c:pt>
                <c:pt idx="12">
                  <c:v>553.88596086184975</c:v>
                </c:pt>
                <c:pt idx="13">
                  <c:v>571.35774688970378</c:v>
                </c:pt>
                <c:pt idx="14">
                  <c:v>583.27504892743696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DD-49E0-94F0-09C85D871BB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BIOGÁS!$B$42:$B$56</c:f>
              <c:numCache>
                <c:formatCode>General</c:formatCode>
                <c:ptCount val="15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  <c:pt idx="14">
                  <c:v>124</c:v>
                </c:pt>
              </c:numCache>
            </c:numRef>
          </c:xVal>
          <c:yVal>
            <c:numRef>
              <c:f>BIOGÁS!$AE$42:$AE$56</c:f>
              <c:numCache>
                <c:formatCode>0.00</c:formatCode>
                <c:ptCount val="15"/>
                <c:pt idx="0">
                  <c:v>58.242838339621372</c:v>
                </c:pt>
                <c:pt idx="1">
                  <c:v>58.378225926155771</c:v>
                </c:pt>
                <c:pt idx="2">
                  <c:v>58.873383830391276</c:v>
                </c:pt>
                <c:pt idx="3">
                  <c:v>59.314030625862955</c:v>
                </c:pt>
                <c:pt idx="4">
                  <c:v>59.305819711244766</c:v>
                </c:pt>
                <c:pt idx="5">
                  <c:v>62.210769409715311</c:v>
                </c:pt>
                <c:pt idx="6">
                  <c:v>65.173558026660245</c:v>
                </c:pt>
                <c:pt idx="7">
                  <c:v>67.854668560033659</c:v>
                </c:pt>
                <c:pt idx="8">
                  <c:v>69.960299306042771</c:v>
                </c:pt>
                <c:pt idx="9">
                  <c:v>72.049871449034825</c:v>
                </c:pt>
                <c:pt idx="10">
                  <c:v>74.311478566610816</c:v>
                </c:pt>
                <c:pt idx="11">
                  <c:v>76.003659229018183</c:v>
                </c:pt>
                <c:pt idx="12">
                  <c:v>78.582368566471729</c:v>
                </c:pt>
                <c:pt idx="13">
                  <c:v>81.082680114687264</c:v>
                </c:pt>
                <c:pt idx="14">
                  <c:v>82.889400767972319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DD-49E0-94F0-09C85D871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324576"/>
        <c:axId val="1021330400"/>
      </c:scatterChart>
      <c:valAx>
        <c:axId val="1021324576"/>
        <c:scaling>
          <c:orientation val="minMax"/>
          <c:max val="128"/>
          <c:min val="9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21330400"/>
        <c:crosses val="autoZero"/>
        <c:crossBetween val="midCat"/>
        <c:majorUnit val="4"/>
      </c:valAx>
      <c:valAx>
        <c:axId val="1021330400"/>
        <c:scaling>
          <c:orientation val="minMax"/>
          <c:max val="6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2132457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292338567836867"/>
          <c:y val="0.28732612934861501"/>
          <c:w val="7.0117897427651538E-2"/>
          <c:h val="7.539946263361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acumulada de biogás a diferente cargas organicas </a:t>
            </a:r>
            <a:endPara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543896835314527"/>
          <c:y val="6.36799053811723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588632944312494"/>
          <c:y val="0.11411348470967776"/>
          <c:w val="0.84387353176061852"/>
          <c:h val="0.7832507926633643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BIOGÁS!$B$12:$B$42</c:f>
              <c:numCache>
                <c:formatCode>General</c:formatCode>
                <c:ptCount val="31"/>
                <c:pt idx="0">
                  <c:v>21</c:v>
                </c:pt>
                <c:pt idx="1">
                  <c:v>23</c:v>
                </c:pt>
                <c:pt idx="2">
                  <c:v>26</c:v>
                </c:pt>
                <c:pt idx="3">
                  <c:v>28</c:v>
                </c:pt>
                <c:pt idx="4">
                  <c:v>30</c:v>
                </c:pt>
                <c:pt idx="5">
                  <c:v>33</c:v>
                </c:pt>
                <c:pt idx="6">
                  <c:v>35</c:v>
                </c:pt>
                <c:pt idx="7">
                  <c:v>37</c:v>
                </c:pt>
                <c:pt idx="8">
                  <c:v>40</c:v>
                </c:pt>
                <c:pt idx="9">
                  <c:v>42</c:v>
                </c:pt>
                <c:pt idx="10">
                  <c:v>44</c:v>
                </c:pt>
                <c:pt idx="11">
                  <c:v>47</c:v>
                </c:pt>
                <c:pt idx="12">
                  <c:v>49</c:v>
                </c:pt>
                <c:pt idx="13">
                  <c:v>51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BIOGÁS!$X$12:$X$42</c:f>
              <c:numCache>
                <c:formatCode>0.00</c:formatCode>
                <c:ptCount val="31"/>
                <c:pt idx="0">
                  <c:v>1.1734905012444472</c:v>
                </c:pt>
                <c:pt idx="1">
                  <c:v>1.798339905019614</c:v>
                </c:pt>
                <c:pt idx="2">
                  <c:v>3.2772821829991274</c:v>
                </c:pt>
                <c:pt idx="3">
                  <c:v>4.7386323301067996</c:v>
                </c:pt>
                <c:pt idx="4">
                  <c:v>6.0697919920472856</c:v>
                </c:pt>
                <c:pt idx="5">
                  <c:v>7.5000495482780121</c:v>
                </c:pt>
                <c:pt idx="6">
                  <c:v>9.3731129662783488</c:v>
                </c:pt>
                <c:pt idx="7">
                  <c:v>11.611746410988715</c:v>
                </c:pt>
                <c:pt idx="8">
                  <c:v>13.907875157542868</c:v>
                </c:pt>
                <c:pt idx="9">
                  <c:v>16.25414429471186</c:v>
                </c:pt>
                <c:pt idx="10">
                  <c:v>18.46731988327193</c:v>
                </c:pt>
                <c:pt idx="11">
                  <c:v>20.57316382803236</c:v>
                </c:pt>
                <c:pt idx="12">
                  <c:v>21.963975597322175</c:v>
                </c:pt>
                <c:pt idx="13">
                  <c:v>23.559689339220881</c:v>
                </c:pt>
                <c:pt idx="14">
                  <c:v>29.205622145847705</c:v>
                </c:pt>
                <c:pt idx="15">
                  <c:v>33.758084995886591</c:v>
                </c:pt>
                <c:pt idx="16">
                  <c:v>37.818224127126562</c:v>
                </c:pt>
                <c:pt idx="17">
                  <c:v>43.500188509712302</c:v>
                </c:pt>
                <c:pt idx="18">
                  <c:v>49.10799292222211</c:v>
                </c:pt>
                <c:pt idx="19">
                  <c:v>55.233201433086691</c:v>
                </c:pt>
                <c:pt idx="20">
                  <c:v>61.495330438039005</c:v>
                </c:pt>
                <c:pt idx="21">
                  <c:v>67.561218486925711</c:v>
                </c:pt>
                <c:pt idx="22">
                  <c:v>73.579479090956781</c:v>
                </c:pt>
                <c:pt idx="23">
                  <c:v>79.482073568237809</c:v>
                </c:pt>
                <c:pt idx="24">
                  <c:v>86.029195733267898</c:v>
                </c:pt>
                <c:pt idx="25">
                  <c:v>93.293714769318299</c:v>
                </c:pt>
                <c:pt idx="26">
                  <c:v>100.17010651395896</c:v>
                </c:pt>
                <c:pt idx="27">
                  <c:v>104.48945237288015</c:v>
                </c:pt>
                <c:pt idx="28">
                  <c:v>108.44812198654199</c:v>
                </c:pt>
                <c:pt idx="29">
                  <c:v>114.5563882947511</c:v>
                </c:pt>
                <c:pt idx="30">
                  <c:v>116.48567667924274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8E1-4C27-8858-5E5A5A680F5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BIOGÁS!$B$42:$B$56</c:f>
              <c:numCache>
                <c:formatCode>General</c:formatCode>
                <c:ptCount val="15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  <c:pt idx="14">
                  <c:v>124</c:v>
                </c:pt>
              </c:numCache>
            </c:numRef>
          </c:xVal>
          <c:yVal>
            <c:numRef>
              <c:f>(BIOGÁS!$Z$42:$Z$57,BIOGÁS!$Z$57:$Z$70)</c:f>
              <c:numCache>
                <c:formatCode>0.00</c:formatCode>
                <c:ptCount val="30"/>
                <c:pt idx="0">
                  <c:v>0</c:v>
                </c:pt>
                <c:pt idx="1">
                  <c:v>0.27077517306879884</c:v>
                </c:pt>
                <c:pt idx="2">
                  <c:v>1.2610909815398088</c:v>
                </c:pt>
                <c:pt idx="3">
                  <c:v>2.1423845724831665</c:v>
                </c:pt>
                <c:pt idx="4">
                  <c:v>2.125962743246788</c:v>
                </c:pt>
                <c:pt idx="5">
                  <c:v>7.9358621401878793</c:v>
                </c:pt>
                <c:pt idx="6">
                  <c:v>13.861439374077747</c:v>
                </c:pt>
                <c:pt idx="7">
                  <c:v>19.223660440824574</c:v>
                </c:pt>
                <c:pt idx="8">
                  <c:v>23.434921932842798</c:v>
                </c:pt>
                <c:pt idx="9">
                  <c:v>27.614066218826906</c:v>
                </c:pt>
                <c:pt idx="10">
                  <c:v>32.137280453978889</c:v>
                </c:pt>
                <c:pt idx="11">
                  <c:v>35.521641778793622</c:v>
                </c:pt>
                <c:pt idx="12">
                  <c:v>40.679060453700714</c:v>
                </c:pt>
                <c:pt idx="13">
                  <c:v>45.679683550131784</c:v>
                </c:pt>
                <c:pt idx="14">
                  <c:v>49.293124856701894</c:v>
                </c:pt>
                <c:pt idx="15">
                  <c:v>0</c:v>
                </c:pt>
                <c:pt idx="16">
                  <c:v>0</c:v>
                </c:pt>
                <c:pt idx="17">
                  <c:v>4.0748988965026456</c:v>
                </c:pt>
                <c:pt idx="18">
                  <c:v>8.5711224240323531</c:v>
                </c:pt>
                <c:pt idx="19">
                  <c:v>11.901319009804865</c:v>
                </c:pt>
                <c:pt idx="20">
                  <c:v>14.932124123147617</c:v>
                </c:pt>
                <c:pt idx="21">
                  <c:v>21.017564427851596</c:v>
                </c:pt>
                <c:pt idx="22">
                  <c:v>25.815612483070566</c:v>
                </c:pt>
                <c:pt idx="23">
                  <c:v>27.369849374279454</c:v>
                </c:pt>
                <c:pt idx="24">
                  <c:v>28.93117283697427</c:v>
                </c:pt>
                <c:pt idx="25">
                  <c:v>33.609398773022349</c:v>
                </c:pt>
                <c:pt idx="26">
                  <c:v>35.363510661574651</c:v>
                </c:pt>
                <c:pt idx="27">
                  <c:v>33.567977155603899</c:v>
                </c:pt>
                <c:pt idx="28">
                  <c:v>34.486967308039311</c:v>
                </c:pt>
                <c:pt idx="29">
                  <c:v>34.60846039690378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D3-4CCB-9668-6527E118476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BIOGÁS!$B$56:$B$70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BIOGÁS!$Z$57:$Z$70</c:f>
              <c:numCache>
                <c:formatCode>0.00</c:formatCode>
                <c:ptCount val="14"/>
                <c:pt idx="0">
                  <c:v>0</c:v>
                </c:pt>
                <c:pt idx="1">
                  <c:v>4.0748988965026456</c:v>
                </c:pt>
                <c:pt idx="2">
                  <c:v>8.5711224240323531</c:v>
                </c:pt>
                <c:pt idx="3">
                  <c:v>11.901319009804865</c:v>
                </c:pt>
                <c:pt idx="4">
                  <c:v>14.932124123147617</c:v>
                </c:pt>
                <c:pt idx="5">
                  <c:v>21.017564427851596</c:v>
                </c:pt>
                <c:pt idx="6">
                  <c:v>25.815612483070566</c:v>
                </c:pt>
                <c:pt idx="7">
                  <c:v>27.369849374279454</c:v>
                </c:pt>
                <c:pt idx="8">
                  <c:v>28.93117283697427</c:v>
                </c:pt>
                <c:pt idx="9">
                  <c:v>33.609398773022349</c:v>
                </c:pt>
                <c:pt idx="10">
                  <c:v>35.363510661574651</c:v>
                </c:pt>
                <c:pt idx="11">
                  <c:v>33.567977155603899</c:v>
                </c:pt>
                <c:pt idx="12">
                  <c:v>34.486967308039311</c:v>
                </c:pt>
                <c:pt idx="13">
                  <c:v>34.60846039690378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D3-4CCB-9668-6527E1184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121983"/>
        <c:axId val="1534118239"/>
      </c:scatterChart>
      <c:valAx>
        <c:axId val="1534121983"/>
        <c:scaling>
          <c:orientation val="minMax"/>
          <c:max val="157"/>
          <c:min val="2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1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(dias)</a:t>
                </a:r>
                <a:endParaRPr lang="en-US" sz="11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34118239"/>
        <c:crosses val="autoZero"/>
        <c:crossBetween val="midCat"/>
        <c:majorUnit val="4"/>
      </c:valAx>
      <c:valAx>
        <c:axId val="1534118239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acumulada  de metano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157275906189406E-2"/>
              <c:y val="0.277125894224772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34121983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Producción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acumulada reactor 1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5019508816718931E-2"/>
          <c:y val="7.4622020708584438E-2"/>
          <c:w val="0.88138861879459851"/>
          <c:h val="0.81778645813550277"/>
        </c:manualLayout>
      </c:layout>
      <c:scatterChart>
        <c:scatterStyle val="smoothMarker"/>
        <c:varyColors val="0"/>
        <c:ser>
          <c:idx val="9"/>
          <c:order val="0"/>
          <c:tx>
            <c:v>Biogás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079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BIOGÁS!$L$3:$L$70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1.8912508007976396</c:v>
                </c:pt>
                <c:pt idx="7">
                  <c:v>4.4517602293957532</c:v>
                </c:pt>
                <c:pt idx="8">
                  <c:v>7.1583624723313477</c:v>
                </c:pt>
                <c:pt idx="9">
                  <c:v>10.819879035399277</c:v>
                </c:pt>
                <c:pt idx="10">
                  <c:v>15.254133288644853</c:v>
                </c:pt>
                <c:pt idx="11">
                  <c:v>24.347816664424236</c:v>
                </c:pt>
                <c:pt idx="12">
                  <c:v>33.515180782732678</c:v>
                </c:pt>
                <c:pt idx="13">
                  <c:v>39.854673910081971</c:v>
                </c:pt>
                <c:pt idx="14">
                  <c:v>46.926547247151156</c:v>
                </c:pt>
                <c:pt idx="15">
                  <c:v>56.142271876267209</c:v>
                </c:pt>
                <c:pt idx="16">
                  <c:v>67.939908560450888</c:v>
                </c:pt>
                <c:pt idx="17">
                  <c:v>80.31432458996396</c:v>
                </c:pt>
                <c:pt idx="18">
                  <c:v>93.488609081669836</c:v>
                </c:pt>
                <c:pt idx="19">
                  <c:v>107.58480392104121</c:v>
                </c:pt>
                <c:pt idx="20">
                  <c:v>122.17345220857607</c:v>
                </c:pt>
                <c:pt idx="21">
                  <c:v>137.89819128776054</c:v>
                </c:pt>
                <c:pt idx="22">
                  <c:v>154.99196915926285</c:v>
                </c:pt>
                <c:pt idx="23">
                  <c:v>171.02397766486601</c:v>
                </c:pt>
                <c:pt idx="24">
                  <c:v>183.87404982183222</c:v>
                </c:pt>
                <c:pt idx="25">
                  <c:v>196.81085683026893</c:v>
                </c:pt>
                <c:pt idx="26">
                  <c:v>213.86282711372681</c:v>
                </c:pt>
                <c:pt idx="27">
                  <c:v>231.79105542760391</c:v>
                </c:pt>
                <c:pt idx="28">
                  <c:v>252.2899285772682</c:v>
                </c:pt>
                <c:pt idx="29">
                  <c:v>271.88277650689093</c:v>
                </c:pt>
                <c:pt idx="30">
                  <c:v>291.47673308722091</c:v>
                </c:pt>
                <c:pt idx="31">
                  <c:v>310.53995958082595</c:v>
                </c:pt>
                <c:pt idx="32">
                  <c:v>329.41255380949411</c:v>
                </c:pt>
                <c:pt idx="33">
                  <c:v>352.09779333688499</c:v>
                </c:pt>
                <c:pt idx="34">
                  <c:v>373.82987153959391</c:v>
                </c:pt>
                <c:pt idx="35">
                  <c:v>394.22752388775098</c:v>
                </c:pt>
                <c:pt idx="36">
                  <c:v>407.38115016833945</c:v>
                </c:pt>
                <c:pt idx="37">
                  <c:v>419.96287965411767</c:v>
                </c:pt>
                <c:pt idx="38">
                  <c:v>438.26357708797917</c:v>
                </c:pt>
                <c:pt idx="39">
                  <c:v>445.93775367001467</c:v>
                </c:pt>
                <c:pt idx="40">
                  <c:v>445.16519840559812</c:v>
                </c:pt>
                <c:pt idx="41">
                  <c:v>448.21950508419462</c:v>
                </c:pt>
                <c:pt idx="42">
                  <c:v>451.48825930326558</c:v>
                </c:pt>
                <c:pt idx="43">
                  <c:v>451.06083228694769</c:v>
                </c:pt>
                <c:pt idx="44">
                  <c:v>466.24310421106759</c:v>
                </c:pt>
                <c:pt idx="45">
                  <c:v>482.83103852563158</c:v>
                </c:pt>
                <c:pt idx="46">
                  <c:v>497.47957673149335</c:v>
                </c:pt>
                <c:pt idx="47">
                  <c:v>509.24358095819525</c:v>
                </c:pt>
                <c:pt idx="48">
                  <c:v>520.9275987546647</c:v>
                </c:pt>
                <c:pt idx="49">
                  <c:v>534.26969886083145</c:v>
                </c:pt>
                <c:pt idx="50">
                  <c:v>542.88933293508251</c:v>
                </c:pt>
                <c:pt idx="51">
                  <c:v>559.87854467333864</c:v>
                </c:pt>
                <c:pt idx="52">
                  <c:v>577.22029063407308</c:v>
                </c:pt>
                <c:pt idx="53">
                  <c:v>588.36873447582377</c:v>
                </c:pt>
                <c:pt idx="54">
                  <c:v>593.74139922714619</c:v>
                </c:pt>
                <c:pt idx="55">
                  <c:v>599.63886266067493</c:v>
                </c:pt>
                <c:pt idx="56">
                  <c:v>615.61908615797654</c:v>
                </c:pt>
                <c:pt idx="57">
                  <c:v>632.3602726789602</c:v>
                </c:pt>
                <c:pt idx="58">
                  <c:v>643.55437118548605</c:v>
                </c:pt>
                <c:pt idx="59">
                  <c:v>660.72743099006436</c:v>
                </c:pt>
                <c:pt idx="60">
                  <c:v>678.20829485574473</c:v>
                </c:pt>
                <c:pt idx="61">
                  <c:v>683.55472721274816</c:v>
                </c:pt>
                <c:pt idx="62">
                  <c:v>704.20858358415455</c:v>
                </c:pt>
                <c:pt idx="63">
                  <c:v>706.98783074948267</c:v>
                </c:pt>
                <c:pt idx="64">
                  <c:v>713.59307545691274</c:v>
                </c:pt>
                <c:pt idx="65">
                  <c:v>707.09311313605212</c:v>
                </c:pt>
                <c:pt idx="66">
                  <c:v>710.25275434123398</c:v>
                </c:pt>
                <c:pt idx="67">
                  <c:v>711.76433242974986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4A-4D64-A07E-367F41F7B004}"/>
            </c:ext>
          </c:extLst>
        </c:ser>
        <c:ser>
          <c:idx val="10"/>
          <c:order val="1"/>
          <c:tx>
            <c:v>Metano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107950" cap="sq">
                <a:solidFill>
                  <a:schemeClr val="accent1"/>
                </a:solidFill>
                <a:beve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BIOGÁS!$W$3:$W$70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0.20992883888853803</c:v>
                </c:pt>
                <c:pt idx="7">
                  <c:v>0.51102497633272359</c:v>
                </c:pt>
                <c:pt idx="8">
                  <c:v>0.85919187463955127</c:v>
                </c:pt>
                <c:pt idx="9">
                  <c:v>1.3545369254488542</c:v>
                </c:pt>
                <c:pt idx="10">
                  <c:v>2.0279522755403896</c:v>
                </c:pt>
                <c:pt idx="11">
                  <c:v>3.4865507235160904</c:v>
                </c:pt>
                <c:pt idx="12">
                  <c:v>5.1249983467708002</c:v>
                </c:pt>
                <c:pt idx="13">
                  <c:v>6.3700118243888699</c:v>
                </c:pt>
                <c:pt idx="14">
                  <c:v>7.7490994767403576</c:v>
                </c:pt>
                <c:pt idx="15">
                  <c:v>9.5782118382843286</c:v>
                </c:pt>
                <c:pt idx="16">
                  <c:v>11.850200307933578</c:v>
                </c:pt>
                <c:pt idx="17">
                  <c:v>14.213823133935184</c:v>
                </c:pt>
                <c:pt idx="18">
                  <c:v>16.559169883590709</c:v>
                </c:pt>
                <c:pt idx="19">
                  <c:v>18.672687530545641</c:v>
                </c:pt>
                <c:pt idx="20">
                  <c:v>20.683699451395395</c:v>
                </c:pt>
                <c:pt idx="21">
                  <c:v>22.007056959552436</c:v>
                </c:pt>
                <c:pt idx="22">
                  <c:v>23.553510734764384</c:v>
                </c:pt>
                <c:pt idx="23">
                  <c:v>29.397026480851189</c:v>
                </c:pt>
                <c:pt idx="24">
                  <c:v>34.124982701671847</c:v>
                </c:pt>
                <c:pt idx="25">
                  <c:v>38.418648053376081</c:v>
                </c:pt>
                <c:pt idx="26">
                  <c:v>44.03861076811485</c:v>
                </c:pt>
                <c:pt idx="27">
                  <c:v>50.24108877379529</c:v>
                </c:pt>
                <c:pt idx="28">
                  <c:v>56.920533243926428</c:v>
                </c:pt>
                <c:pt idx="29">
                  <c:v>63.66420050556976</c:v>
                </c:pt>
                <c:pt idx="30">
                  <c:v>70.06727024177512</c:v>
                </c:pt>
                <c:pt idx="31">
                  <c:v>76.510640796613572</c:v>
                </c:pt>
                <c:pt idx="32">
                  <c:v>82.993376914161118</c:v>
                </c:pt>
                <c:pt idx="33">
                  <c:v>90.400107619854268</c:v>
                </c:pt>
                <c:pt idx="34">
                  <c:v>97.789014208775313</c:v>
                </c:pt>
                <c:pt idx="35">
                  <c:v>104.90779487828209</c:v>
                </c:pt>
                <c:pt idx="36">
                  <c:v>109.16956979319278</c:v>
                </c:pt>
                <c:pt idx="37">
                  <c:v>113.09506939275559</c:v>
                </c:pt>
                <c:pt idx="38">
                  <c:v>119.46371209973937</c:v>
                </c:pt>
                <c:pt idx="39">
                  <c:v>121.81558599692428</c:v>
                </c:pt>
                <c:pt idx="40">
                  <c:v>121.72328406214953</c:v>
                </c:pt>
                <c:pt idx="41">
                  <c:v>122.68844497258603</c:v>
                </c:pt>
                <c:pt idx="42">
                  <c:v>123.65261604923077</c:v>
                </c:pt>
                <c:pt idx="43">
                  <c:v>123.58648274999338</c:v>
                </c:pt>
                <c:pt idx="44">
                  <c:v>128.67170181877088</c:v>
                </c:pt>
                <c:pt idx="45">
                  <c:v>134.29209104865024</c:v>
                </c:pt>
                <c:pt idx="46">
                  <c:v>139.33118819146668</c:v>
                </c:pt>
                <c:pt idx="47">
                  <c:v>142.84035976534395</c:v>
                </c:pt>
                <c:pt idx="48">
                  <c:v>146.07748936968284</c:v>
                </c:pt>
                <c:pt idx="49">
                  <c:v>150.12627793155119</c:v>
                </c:pt>
                <c:pt idx="50">
                  <c:v>152.9217376743851</c:v>
                </c:pt>
                <c:pt idx="51">
                  <c:v>157.54540888554013</c:v>
                </c:pt>
                <c:pt idx="52">
                  <c:v>162.19582623539054</c:v>
                </c:pt>
                <c:pt idx="53">
                  <c:v>165.44559761526088</c:v>
                </c:pt>
                <c:pt idx="54">
                  <c:v>166.93131706037832</c:v>
                </c:pt>
                <c:pt idx="55">
                  <c:v>168.58850428519995</c:v>
                </c:pt>
                <c:pt idx="56">
                  <c:v>172.91914485296866</c:v>
                </c:pt>
                <c:pt idx="57">
                  <c:v>177.38067106081081</c:v>
                </c:pt>
                <c:pt idx="58">
                  <c:v>180.24170495815795</c:v>
                </c:pt>
                <c:pt idx="59">
                  <c:v>184.66838757486335</c:v>
                </c:pt>
                <c:pt idx="60">
                  <c:v>189.24988694305426</c:v>
                </c:pt>
                <c:pt idx="61">
                  <c:v>190.56987950201105</c:v>
                </c:pt>
                <c:pt idx="62">
                  <c:v>196.01499890026872</c:v>
                </c:pt>
                <c:pt idx="63">
                  <c:v>196.48261114293055</c:v>
                </c:pt>
                <c:pt idx="64">
                  <c:v>198.25169903168907</c:v>
                </c:pt>
                <c:pt idx="65">
                  <c:v>196.43395051031192</c:v>
                </c:pt>
                <c:pt idx="66">
                  <c:v>197.29976921342526</c:v>
                </c:pt>
                <c:pt idx="67">
                  <c:v>197.44185755374573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4A-4D64-A07E-367F41F7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777824"/>
        <c:axId val="1039780736"/>
      </c:scatterChart>
      <c:valAx>
        <c:axId val="1039777824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9780736"/>
        <c:crosses val="autoZero"/>
        <c:crossBetween val="midCat"/>
        <c:majorUnit val="8"/>
      </c:valAx>
      <c:valAx>
        <c:axId val="1039780736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Producción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(Kg</a:t>
                </a:r>
                <a:r>
                  <a:rPr lang="en-US" sz="1400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¯¹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VS)</a:t>
                </a: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97778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782564281134001"/>
          <c:y val="8.8365606616368803E-2"/>
          <c:w val="0.39011173989727338"/>
          <c:h val="9.6139945105129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Producción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acumulada reactor 2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343098745950269"/>
          <c:y val="7.3168062481790141E-2"/>
          <c:w val="0.87551567299082789"/>
          <c:h val="0.82133676239839359"/>
        </c:manualLayout>
      </c:layout>
      <c:scatterChart>
        <c:scatterStyle val="smoothMarker"/>
        <c:varyColors val="0"/>
        <c:ser>
          <c:idx val="9"/>
          <c:order val="0"/>
          <c:tx>
            <c:v>Biogás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079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BIOGÁS!$B$79:$B$146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157</c:v>
                </c:pt>
              </c:numCache>
            </c:numRef>
          </c:xVal>
          <c:yVal>
            <c:numRef>
              <c:f>BIOGÁS!$L$79:$L$146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7.4619855416544398</c:v>
                </c:pt>
                <c:pt idx="10">
                  <c:v>11.299357991588272</c:v>
                </c:pt>
                <c:pt idx="11">
                  <c:v>20.761704132453897</c:v>
                </c:pt>
                <c:pt idx="12">
                  <c:v>28.243129873087607</c:v>
                </c:pt>
                <c:pt idx="13">
                  <c:v>35.551117572371759</c:v>
                </c:pt>
                <c:pt idx="14">
                  <c:v>43.345806694154739</c:v>
                </c:pt>
                <c:pt idx="15">
                  <c:v>52.928741162809544</c:v>
                </c:pt>
                <c:pt idx="16">
                  <c:v>64.523935504336876</c:v>
                </c:pt>
                <c:pt idx="17">
                  <c:v>76.308146878824942</c:v>
                </c:pt>
                <c:pt idx="18">
                  <c:v>89.308224122732057</c:v>
                </c:pt>
                <c:pt idx="19">
                  <c:v>104.17542633199213</c:v>
                </c:pt>
                <c:pt idx="20">
                  <c:v>119.70338241275522</c:v>
                </c:pt>
                <c:pt idx="21">
                  <c:v>136.19574448173776</c:v>
                </c:pt>
                <c:pt idx="22">
                  <c:v>153.26770745044428</c:v>
                </c:pt>
                <c:pt idx="23">
                  <c:v>167.2234448278673</c:v>
                </c:pt>
                <c:pt idx="24">
                  <c:v>179.52759232347407</c:v>
                </c:pt>
                <c:pt idx="25">
                  <c:v>190.40130785303691</c:v>
                </c:pt>
                <c:pt idx="26">
                  <c:v>207.0854840009672</c:v>
                </c:pt>
                <c:pt idx="27">
                  <c:v>222.73081873336503</c:v>
                </c:pt>
                <c:pt idx="28">
                  <c:v>240.09464502066209</c:v>
                </c:pt>
                <c:pt idx="29">
                  <c:v>257.21215717189966</c:v>
                </c:pt>
                <c:pt idx="30">
                  <c:v>274.51046150791143</c:v>
                </c:pt>
                <c:pt idx="31">
                  <c:v>291.66736535215591</c:v>
                </c:pt>
                <c:pt idx="32">
                  <c:v>306.91794654703989</c:v>
                </c:pt>
                <c:pt idx="33">
                  <c:v>324.07485039128431</c:v>
                </c:pt>
                <c:pt idx="34">
                  <c:v>345.04439953424981</c:v>
                </c:pt>
                <c:pt idx="35">
                  <c:v>364.10762602785479</c:v>
                </c:pt>
                <c:pt idx="36">
                  <c:v>377.45188457337821</c:v>
                </c:pt>
                <c:pt idx="37">
                  <c:v>388.88982046954123</c:v>
                </c:pt>
                <c:pt idx="38">
                  <c:v>405.21281011016328</c:v>
                </c:pt>
                <c:pt idx="39">
                  <c:v>409.85936961250667</c:v>
                </c:pt>
                <c:pt idx="40">
                  <c:v>411.76569226186717</c:v>
                </c:pt>
                <c:pt idx="41">
                  <c:v>415.19481412185797</c:v>
                </c:pt>
                <c:pt idx="42">
                  <c:v>417.96664480259898</c:v>
                </c:pt>
                <c:pt idx="43">
                  <c:v>417.76870000090145</c:v>
                </c:pt>
                <c:pt idx="44">
                  <c:v>436.41229408108609</c:v>
                </c:pt>
                <c:pt idx="45">
                  <c:v>453.91444362574998</c:v>
                </c:pt>
                <c:pt idx="46">
                  <c:v>470.27514863489307</c:v>
                </c:pt>
                <c:pt idx="47">
                  <c:v>485.35501386931338</c:v>
                </c:pt>
                <c:pt idx="48">
                  <c:v>502.22868427336397</c:v>
                </c:pt>
                <c:pt idx="49">
                  <c:v>517.39602845678007</c:v>
                </c:pt>
                <c:pt idx="50">
                  <c:v>529.51952973064476</c:v>
                </c:pt>
                <c:pt idx="51">
                  <c:v>547.89337705036075</c:v>
                </c:pt>
                <c:pt idx="52">
                  <c:v>565.49520314533447</c:v>
                </c:pt>
                <c:pt idx="53">
                  <c:v>578.18136337905014</c:v>
                </c:pt>
                <c:pt idx="54">
                  <c:v>582.70743538376905</c:v>
                </c:pt>
                <c:pt idx="55">
                  <c:v>594.50236225082563</c:v>
                </c:pt>
                <c:pt idx="56">
                  <c:v>610.10641977791045</c:v>
                </c:pt>
                <c:pt idx="57">
                  <c:v>628.17497604871255</c:v>
                </c:pt>
                <c:pt idx="58">
                  <c:v>639.39753144206702</c:v>
                </c:pt>
                <c:pt idx="59">
                  <c:v>656.74600314191514</c:v>
                </c:pt>
                <c:pt idx="60">
                  <c:v>674.21323898141668</c:v>
                </c:pt>
                <c:pt idx="61">
                  <c:v>679.97689255240323</c:v>
                </c:pt>
                <c:pt idx="62">
                  <c:v>700.77248857073027</c:v>
                </c:pt>
                <c:pt idx="63">
                  <c:v>703.95436191279748</c:v>
                </c:pt>
                <c:pt idx="64">
                  <c:v>710.35898260626698</c:v>
                </c:pt>
                <c:pt idx="65">
                  <c:v>704.26850682525298</c:v>
                </c:pt>
                <c:pt idx="66">
                  <c:v>707.79643994739422</c:v>
                </c:pt>
                <c:pt idx="67">
                  <c:v>708.93012351378115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2F-4CD2-BE82-7980361E502D}"/>
            </c:ext>
          </c:extLst>
        </c:ser>
        <c:ser>
          <c:idx val="10"/>
          <c:order val="1"/>
          <c:tx>
            <c:v>Metano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10795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BIOGÁS!$B$79:$B$146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157</c:v>
                </c:pt>
              </c:numCache>
            </c:numRef>
          </c:xVal>
          <c:yVal>
            <c:numRef>
              <c:f>BIOGÁS!$W$79:$W$146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0.99244407704004034</c:v>
                </c:pt>
                <c:pt idx="10">
                  <c:v>1.5687275344988385</c:v>
                </c:pt>
                <c:pt idx="11">
                  <c:v>3.0680136424821645</c:v>
                </c:pt>
                <c:pt idx="12">
                  <c:v>4.3522663134427999</c:v>
                </c:pt>
                <c:pt idx="13">
                  <c:v>5.7695721597057021</c:v>
                </c:pt>
                <c:pt idx="14">
                  <c:v>7.2509996198156665</c:v>
                </c:pt>
                <c:pt idx="15">
                  <c:v>9.1680140942723671</c:v>
                </c:pt>
                <c:pt idx="16">
                  <c:v>11.37329251404385</c:v>
                </c:pt>
                <c:pt idx="17">
                  <c:v>13.60192718115055</c:v>
                </c:pt>
                <c:pt idx="18">
                  <c:v>15.949118705833012</c:v>
                </c:pt>
                <c:pt idx="19">
                  <c:v>18.261952235998219</c:v>
                </c:pt>
                <c:pt idx="20">
                  <c:v>20.462628204669326</c:v>
                </c:pt>
                <c:pt idx="21">
                  <c:v>21.920894235091914</c:v>
                </c:pt>
                <c:pt idx="22">
                  <c:v>23.565867943677375</c:v>
                </c:pt>
                <c:pt idx="23">
                  <c:v>29.014217810844222</c:v>
                </c:pt>
                <c:pt idx="24">
                  <c:v>33.391187290101328</c:v>
                </c:pt>
                <c:pt idx="25">
                  <c:v>37.217800200877043</c:v>
                </c:pt>
                <c:pt idx="26">
                  <c:v>42.961766251309747</c:v>
                </c:pt>
                <c:pt idx="27">
                  <c:v>47.974897070648922</c:v>
                </c:pt>
                <c:pt idx="28">
                  <c:v>53.545869622246947</c:v>
                </c:pt>
                <c:pt idx="29">
                  <c:v>59.326460370508251</c:v>
                </c:pt>
                <c:pt idx="30">
                  <c:v>65.055166732076302</c:v>
                </c:pt>
                <c:pt idx="31">
                  <c:v>70.64831738529999</c:v>
                </c:pt>
                <c:pt idx="32">
                  <c:v>75.970770222314499</c:v>
                </c:pt>
                <c:pt idx="33">
                  <c:v>81.658283846681542</c:v>
                </c:pt>
                <c:pt idx="34">
                  <c:v>88.798415329861285</c:v>
                </c:pt>
                <c:pt idx="35">
                  <c:v>95.432418149635808</c:v>
                </c:pt>
                <c:pt idx="36">
                  <c:v>99.809334952567511</c:v>
                </c:pt>
                <c:pt idx="37">
                  <c:v>103.80117458032838</c:v>
                </c:pt>
                <c:pt idx="38">
                  <c:v>109.64906448976284</c:v>
                </c:pt>
                <c:pt idx="39">
                  <c:v>111.15576736156119</c:v>
                </c:pt>
                <c:pt idx="40">
                  <c:v>111.78961964247355</c:v>
                </c:pt>
                <c:pt idx="41">
                  <c:v>112.80509034897909</c:v>
                </c:pt>
                <c:pt idx="42">
                  <c:v>113.60350645422103</c:v>
                </c:pt>
                <c:pt idx="43">
                  <c:v>113.63679609498568</c:v>
                </c:pt>
                <c:pt idx="44">
                  <c:v>120.17137582009038</c:v>
                </c:pt>
                <c:pt idx="45">
                  <c:v>126.40214105799073</c:v>
                </c:pt>
                <c:pt idx="46">
                  <c:v>132.08748604866796</c:v>
                </c:pt>
                <c:pt idx="47">
                  <c:v>137.00083745882711</c:v>
                </c:pt>
                <c:pt idx="48">
                  <c:v>142.12199642645646</c:v>
                </c:pt>
                <c:pt idx="49">
                  <c:v>147.11963633489205</c:v>
                </c:pt>
                <c:pt idx="50">
                  <c:v>151.09289924168766</c:v>
                </c:pt>
                <c:pt idx="51">
                  <c:v>156.78406538034679</c:v>
                </c:pt>
                <c:pt idx="52">
                  <c:v>162.13489422335854</c:v>
                </c:pt>
                <c:pt idx="53">
                  <c:v>166.11200545662842</c:v>
                </c:pt>
                <c:pt idx="54">
                  <c:v>167.63939315391301</c:v>
                </c:pt>
                <c:pt idx="55">
                  <c:v>171.11889657969465</c:v>
                </c:pt>
                <c:pt idx="56">
                  <c:v>175.7807030669853</c:v>
                </c:pt>
                <c:pt idx="57">
                  <c:v>180.99267717309027</c:v>
                </c:pt>
                <c:pt idx="58">
                  <c:v>184.19325350242866</c:v>
                </c:pt>
                <c:pt idx="59">
                  <c:v>188.92434435272912</c:v>
                </c:pt>
                <c:pt idx="60">
                  <c:v>193.93894109497614</c:v>
                </c:pt>
                <c:pt idx="61">
                  <c:v>195.72742231843716</c:v>
                </c:pt>
                <c:pt idx="62">
                  <c:v>201.55474763857441</c:v>
                </c:pt>
                <c:pt idx="63">
                  <c:v>202.29378947500345</c:v>
                </c:pt>
                <c:pt idx="64">
                  <c:v>204.03292536334948</c:v>
                </c:pt>
                <c:pt idx="65">
                  <c:v>202.25960687278513</c:v>
                </c:pt>
                <c:pt idx="66">
                  <c:v>203.23176847454266</c:v>
                </c:pt>
                <c:pt idx="67">
                  <c:v>203.3326663119511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2F-4CD2-BE82-7980361E5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719424"/>
        <c:axId val="1042705696"/>
      </c:scatterChart>
      <c:valAx>
        <c:axId val="1042719424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2705696"/>
        <c:crosses val="autoZero"/>
        <c:crossBetween val="midCat"/>
        <c:majorUnit val="8"/>
      </c:valAx>
      <c:valAx>
        <c:axId val="1042705696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US" sz="200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Produccion</a:t>
                </a:r>
                <a:r>
                  <a:rPr lang="en-US" sz="2000" baseline="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 (Kg¯¹ SV)</a:t>
                </a:r>
                <a:endParaRPr lang="en-US" sz="2000">
                  <a:solidFill>
                    <a:schemeClr val="tx1"/>
                  </a:solidFill>
                  <a:latin typeface="+mn-lt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638765311569787E-2"/>
              <c:y val="0.35331677382335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27194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40880619781931"/>
          <c:y val="0.10978991008015061"/>
          <c:w val="0.25413000007100517"/>
          <c:h val="0.14552978145086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0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de biogás diaria 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104786337902244E-2"/>
          <c:y val="9.1480228430452296E-2"/>
          <c:w val="0.88892592398116077"/>
          <c:h val="0.7851285727898843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Hoja1!$F$1</c:f>
              <c:strCache>
                <c:ptCount val="1"/>
                <c:pt idx="0">
                  <c:v>Reactor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xVal>
            <c:numRef>
              <c:f>Hoja1!$E$2:$E$161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Hoja1!$F$2:$F$161</c:f>
              <c:numCache>
                <c:formatCode>General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2</c:v>
                </c:pt>
                <c:pt idx="21">
                  <c:v>2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4.8</c:v>
                </c:pt>
                <c:pt idx="25">
                  <c:v>4.8</c:v>
                </c:pt>
                <c:pt idx="26">
                  <c:v>4.9000000000000004</c:v>
                </c:pt>
                <c:pt idx="27">
                  <c:v>4.9000000000000004</c:v>
                </c:pt>
                <c:pt idx="28">
                  <c:v>4.9000000000000004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3.6</c:v>
                </c:pt>
                <c:pt idx="33">
                  <c:v>3.6</c:v>
                </c:pt>
                <c:pt idx="34">
                  <c:v>4.8</c:v>
                </c:pt>
                <c:pt idx="35">
                  <c:v>4.8</c:v>
                </c:pt>
                <c:pt idx="36">
                  <c:v>6.1</c:v>
                </c:pt>
                <c:pt idx="37">
                  <c:v>6.1</c:v>
                </c:pt>
                <c:pt idx="38">
                  <c:v>6.1</c:v>
                </c:pt>
                <c:pt idx="39">
                  <c:v>6.3</c:v>
                </c:pt>
                <c:pt idx="40">
                  <c:v>6.3</c:v>
                </c:pt>
                <c:pt idx="41">
                  <c:v>7.1</c:v>
                </c:pt>
                <c:pt idx="42">
                  <c:v>7.1</c:v>
                </c:pt>
                <c:pt idx="43">
                  <c:v>7.6</c:v>
                </c:pt>
                <c:pt idx="44">
                  <c:v>7.6</c:v>
                </c:pt>
                <c:pt idx="45">
                  <c:v>7.5</c:v>
                </c:pt>
                <c:pt idx="46">
                  <c:v>7.5</c:v>
                </c:pt>
                <c:pt idx="47">
                  <c:v>7.5</c:v>
                </c:pt>
                <c:pt idx="48">
                  <c:v>8.6</c:v>
                </c:pt>
                <c:pt idx="49">
                  <c:v>8.6</c:v>
                </c:pt>
                <c:pt idx="50">
                  <c:v>8</c:v>
                </c:pt>
                <c:pt idx="51">
                  <c:v>8</c:v>
                </c:pt>
                <c:pt idx="52">
                  <c:v>9.1</c:v>
                </c:pt>
                <c:pt idx="53">
                  <c:v>9.1</c:v>
                </c:pt>
                <c:pt idx="54">
                  <c:v>9.1</c:v>
                </c:pt>
                <c:pt idx="55">
                  <c:v>7.3</c:v>
                </c:pt>
                <c:pt idx="56">
                  <c:v>7.3</c:v>
                </c:pt>
                <c:pt idx="57">
                  <c:v>7.1</c:v>
                </c:pt>
                <c:pt idx="58">
                  <c:v>7.1</c:v>
                </c:pt>
                <c:pt idx="59">
                  <c:v>7.1</c:v>
                </c:pt>
                <c:pt idx="60">
                  <c:v>9.1999999999999993</c:v>
                </c:pt>
                <c:pt idx="61">
                  <c:v>9.1999999999999993</c:v>
                </c:pt>
                <c:pt idx="62">
                  <c:v>9.1999999999999993</c:v>
                </c:pt>
                <c:pt idx="63">
                  <c:v>9.1999999999999993</c:v>
                </c:pt>
                <c:pt idx="64">
                  <c:v>9.6</c:v>
                </c:pt>
                <c:pt idx="65">
                  <c:v>9.6</c:v>
                </c:pt>
                <c:pt idx="66">
                  <c:v>10.3</c:v>
                </c:pt>
                <c:pt idx="67">
                  <c:v>10.3</c:v>
                </c:pt>
                <c:pt idx="68">
                  <c:v>10.3</c:v>
                </c:pt>
                <c:pt idx="69">
                  <c:v>10.199999999999999</c:v>
                </c:pt>
                <c:pt idx="70">
                  <c:v>10.199999999999999</c:v>
                </c:pt>
                <c:pt idx="71">
                  <c:v>10</c:v>
                </c:pt>
                <c:pt idx="72">
                  <c:v>10</c:v>
                </c:pt>
                <c:pt idx="73">
                  <c:v>9.9</c:v>
                </c:pt>
                <c:pt idx="74">
                  <c:v>9.9</c:v>
                </c:pt>
                <c:pt idx="75">
                  <c:v>9.9</c:v>
                </c:pt>
                <c:pt idx="76">
                  <c:v>11.9</c:v>
                </c:pt>
                <c:pt idx="77">
                  <c:v>11.9</c:v>
                </c:pt>
                <c:pt idx="78">
                  <c:v>11.4</c:v>
                </c:pt>
                <c:pt idx="79">
                  <c:v>11.4</c:v>
                </c:pt>
                <c:pt idx="80">
                  <c:v>10.7</c:v>
                </c:pt>
                <c:pt idx="81">
                  <c:v>10.7</c:v>
                </c:pt>
                <c:pt idx="82">
                  <c:v>10.7</c:v>
                </c:pt>
                <c:pt idx="83">
                  <c:v>6.9</c:v>
                </c:pt>
                <c:pt idx="84">
                  <c:v>6.9</c:v>
                </c:pt>
                <c:pt idx="85">
                  <c:v>6.6</c:v>
                </c:pt>
                <c:pt idx="86">
                  <c:v>6.6</c:v>
                </c:pt>
                <c:pt idx="87">
                  <c:v>6.6</c:v>
                </c:pt>
                <c:pt idx="88">
                  <c:v>9.6</c:v>
                </c:pt>
                <c:pt idx="89">
                  <c:v>9.6</c:v>
                </c:pt>
                <c:pt idx="90">
                  <c:v>2.1</c:v>
                </c:pt>
                <c:pt idx="91">
                  <c:v>2.1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1.6</c:v>
                </c:pt>
                <c:pt idx="96">
                  <c:v>1.6</c:v>
                </c:pt>
                <c:pt idx="97">
                  <c:v>0.9</c:v>
                </c:pt>
                <c:pt idx="98">
                  <c:v>0.9</c:v>
                </c:pt>
                <c:pt idx="99">
                  <c:v>1.4</c:v>
                </c:pt>
                <c:pt idx="100">
                  <c:v>1.4</c:v>
                </c:pt>
                <c:pt idx="101">
                  <c:v>8.4</c:v>
                </c:pt>
                <c:pt idx="102">
                  <c:v>8.4</c:v>
                </c:pt>
                <c:pt idx="103">
                  <c:v>8.3000000000000007</c:v>
                </c:pt>
                <c:pt idx="104">
                  <c:v>8.3000000000000007</c:v>
                </c:pt>
                <c:pt idx="105">
                  <c:v>7.7</c:v>
                </c:pt>
                <c:pt idx="106">
                  <c:v>7.7</c:v>
                </c:pt>
                <c:pt idx="107">
                  <c:v>7.7</c:v>
                </c:pt>
                <c:pt idx="108">
                  <c:v>7.1</c:v>
                </c:pt>
                <c:pt idx="109">
                  <c:v>7.1</c:v>
                </c:pt>
                <c:pt idx="110">
                  <c:v>7.1</c:v>
                </c:pt>
                <c:pt idx="111">
                  <c:v>7.1</c:v>
                </c:pt>
                <c:pt idx="112">
                  <c:v>7.1</c:v>
                </c:pt>
                <c:pt idx="113">
                  <c:v>7.1</c:v>
                </c:pt>
                <c:pt idx="114">
                  <c:v>6.1</c:v>
                </c:pt>
                <c:pt idx="115">
                  <c:v>6.1</c:v>
                </c:pt>
                <c:pt idx="116">
                  <c:v>6.5</c:v>
                </c:pt>
                <c:pt idx="117">
                  <c:v>6.5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5.8</c:v>
                </c:pt>
                <c:pt idx="124">
                  <c:v>5.8</c:v>
                </c:pt>
                <c:pt idx="125">
                  <c:v>6</c:v>
                </c:pt>
                <c:pt idx="126">
                  <c:v>6</c:v>
                </c:pt>
                <c:pt idx="127">
                  <c:v>3.1</c:v>
                </c:pt>
                <c:pt idx="128">
                  <c:v>3.1</c:v>
                </c:pt>
                <c:pt idx="129">
                  <c:v>3.1</c:v>
                </c:pt>
                <c:pt idx="130">
                  <c:v>8.4</c:v>
                </c:pt>
                <c:pt idx="131">
                  <c:v>8.4</c:v>
                </c:pt>
                <c:pt idx="132">
                  <c:v>8.8000000000000007</c:v>
                </c:pt>
                <c:pt idx="133">
                  <c:v>8.8000000000000007</c:v>
                </c:pt>
                <c:pt idx="134">
                  <c:v>8.1999999999999993</c:v>
                </c:pt>
                <c:pt idx="135">
                  <c:v>8.1999999999999993</c:v>
                </c:pt>
                <c:pt idx="136">
                  <c:v>8.1999999999999993</c:v>
                </c:pt>
                <c:pt idx="137">
                  <c:v>7.9</c:v>
                </c:pt>
                <c:pt idx="138">
                  <c:v>7.9</c:v>
                </c:pt>
                <c:pt idx="139">
                  <c:v>8</c:v>
                </c:pt>
                <c:pt idx="140">
                  <c:v>8</c:v>
                </c:pt>
                <c:pt idx="141">
                  <c:v>6.5</c:v>
                </c:pt>
                <c:pt idx="142">
                  <c:v>6.5</c:v>
                </c:pt>
                <c:pt idx="143">
                  <c:v>6.5</c:v>
                </c:pt>
                <c:pt idx="144">
                  <c:v>5.9</c:v>
                </c:pt>
                <c:pt idx="145">
                  <c:v>5.9</c:v>
                </c:pt>
                <c:pt idx="146">
                  <c:v>4</c:v>
                </c:pt>
                <c:pt idx="147">
                  <c:v>4</c:v>
                </c:pt>
                <c:pt idx="148">
                  <c:v>2.2000000000000002</c:v>
                </c:pt>
                <c:pt idx="149">
                  <c:v>2.2000000000000002</c:v>
                </c:pt>
                <c:pt idx="150">
                  <c:v>2.2000000000000002</c:v>
                </c:pt>
                <c:pt idx="151">
                  <c:v>0.4</c:v>
                </c:pt>
                <c:pt idx="152">
                  <c:v>0.4</c:v>
                </c:pt>
                <c:pt idx="153">
                  <c:v>0.4</c:v>
                </c:pt>
                <c:pt idx="154">
                  <c:v>0.4</c:v>
                </c:pt>
                <c:pt idx="155">
                  <c:v>0.8</c:v>
                </c:pt>
                <c:pt idx="156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DB-41D9-A8DE-C2CCB6274450}"/>
            </c:ext>
          </c:extLst>
        </c:ser>
        <c:ser>
          <c:idx val="1"/>
          <c:order val="1"/>
          <c:tx>
            <c:strRef>
              <c:f>Hoja1!$G$1</c:f>
              <c:strCache>
                <c:ptCount val="1"/>
                <c:pt idx="0">
                  <c:v>Reactor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2225">
                <a:solidFill>
                  <a:schemeClr val="accent2"/>
                </a:solidFill>
              </a:ln>
              <a:effectLst/>
            </c:spPr>
          </c:marker>
          <c:xVal>
            <c:numRef>
              <c:f>Hoja1!$E$2:$E$161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Hoja1!$G$2:$G$161</c:f>
              <c:numCache>
                <c:formatCode>General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5</c:v>
                </c:pt>
                <c:pt idx="35">
                  <c:v>5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7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7</c:v>
                </c:pt>
                <c:pt idx="56">
                  <c:v>7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9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9</c:v>
                </c:pt>
                <c:pt idx="77">
                  <c:v>9</c:v>
                </c:pt>
                <c:pt idx="78">
                  <c:v>11</c:v>
                </c:pt>
                <c:pt idx="79">
                  <c:v>11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7</c:v>
                </c:pt>
                <c:pt idx="84">
                  <c:v>7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9</c:v>
                </c:pt>
                <c:pt idx="89">
                  <c:v>9</c:v>
                </c:pt>
                <c:pt idx="90">
                  <c:v>2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1.5</c:v>
                </c:pt>
                <c:pt idx="96">
                  <c:v>1.5</c:v>
                </c:pt>
                <c:pt idx="97">
                  <c:v>0.7</c:v>
                </c:pt>
                <c:pt idx="98">
                  <c:v>0.7</c:v>
                </c:pt>
                <c:pt idx="99">
                  <c:v>1.4</c:v>
                </c:pt>
                <c:pt idx="100">
                  <c:v>1.4</c:v>
                </c:pt>
                <c:pt idx="101">
                  <c:v>9.8000000000000007</c:v>
                </c:pt>
                <c:pt idx="102">
                  <c:v>9.8000000000000007</c:v>
                </c:pt>
                <c:pt idx="103">
                  <c:v>9.1999999999999993</c:v>
                </c:pt>
                <c:pt idx="104">
                  <c:v>9.1</c:v>
                </c:pt>
                <c:pt idx="105">
                  <c:v>8.6</c:v>
                </c:pt>
                <c:pt idx="106">
                  <c:v>8.6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8.8000000000000007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8.3000000000000007</c:v>
                </c:pt>
                <c:pt idx="117">
                  <c:v>8.3000000000000007</c:v>
                </c:pt>
                <c:pt idx="118">
                  <c:v>6.8</c:v>
                </c:pt>
                <c:pt idx="119">
                  <c:v>6.8</c:v>
                </c:pt>
                <c:pt idx="120">
                  <c:v>6.2</c:v>
                </c:pt>
                <c:pt idx="121">
                  <c:v>6.2</c:v>
                </c:pt>
                <c:pt idx="122">
                  <c:v>6.2</c:v>
                </c:pt>
                <c:pt idx="123">
                  <c:v>6.6</c:v>
                </c:pt>
                <c:pt idx="124">
                  <c:v>6.6</c:v>
                </c:pt>
                <c:pt idx="125">
                  <c:v>5.5</c:v>
                </c:pt>
                <c:pt idx="126">
                  <c:v>5.5</c:v>
                </c:pt>
                <c:pt idx="127">
                  <c:v>6.2</c:v>
                </c:pt>
                <c:pt idx="128">
                  <c:v>6.2</c:v>
                </c:pt>
                <c:pt idx="129">
                  <c:v>6.2</c:v>
                </c:pt>
                <c:pt idx="130">
                  <c:v>9.3000000000000007</c:v>
                </c:pt>
                <c:pt idx="131">
                  <c:v>9.3000000000000007</c:v>
                </c:pt>
                <c:pt idx="132">
                  <c:v>8.4</c:v>
                </c:pt>
                <c:pt idx="133">
                  <c:v>8.4</c:v>
                </c:pt>
                <c:pt idx="134">
                  <c:v>8.1999999999999993</c:v>
                </c:pt>
                <c:pt idx="135">
                  <c:v>8.1999999999999993</c:v>
                </c:pt>
                <c:pt idx="136">
                  <c:v>8.1999999999999993</c:v>
                </c:pt>
                <c:pt idx="137">
                  <c:v>8</c:v>
                </c:pt>
                <c:pt idx="138">
                  <c:v>8</c:v>
                </c:pt>
                <c:pt idx="139">
                  <c:v>8</c:v>
                </c:pt>
                <c:pt idx="140">
                  <c:v>8</c:v>
                </c:pt>
                <c:pt idx="141">
                  <c:v>6.7</c:v>
                </c:pt>
                <c:pt idx="142">
                  <c:v>6.7</c:v>
                </c:pt>
                <c:pt idx="143">
                  <c:v>6.7</c:v>
                </c:pt>
                <c:pt idx="144">
                  <c:v>6</c:v>
                </c:pt>
                <c:pt idx="145">
                  <c:v>6</c:v>
                </c:pt>
                <c:pt idx="146">
                  <c:v>4.2</c:v>
                </c:pt>
                <c:pt idx="147">
                  <c:v>4.2</c:v>
                </c:pt>
                <c:pt idx="148">
                  <c:v>2.1</c:v>
                </c:pt>
                <c:pt idx="149">
                  <c:v>2.1</c:v>
                </c:pt>
                <c:pt idx="150">
                  <c:v>2.1</c:v>
                </c:pt>
                <c:pt idx="151">
                  <c:v>0.6</c:v>
                </c:pt>
                <c:pt idx="152">
                  <c:v>0.6</c:v>
                </c:pt>
                <c:pt idx="153">
                  <c:v>0.6</c:v>
                </c:pt>
                <c:pt idx="154">
                  <c:v>0.6</c:v>
                </c:pt>
                <c:pt idx="155">
                  <c:v>0.6</c:v>
                </c:pt>
                <c:pt idx="156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DB-41D9-A8DE-C2CCB6274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719983"/>
        <c:axId val="2031722063"/>
      </c:scatterChart>
      <c:valAx>
        <c:axId val="2031719983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1722063"/>
        <c:crosses val="autoZero"/>
        <c:crossBetween val="midCat"/>
        <c:majorUnit val="8"/>
      </c:valAx>
      <c:valAx>
        <c:axId val="2031722063"/>
        <c:scaling>
          <c:orientation val="minMax"/>
          <c:max val="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Producción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biogás (L d</a:t>
                </a:r>
                <a:r>
                  <a:rPr lang="en-US" sz="1400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¯¹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1719983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868760371485712"/>
          <c:y val="0.10841045873853872"/>
          <c:w val="0.28515583423480501"/>
          <c:h val="0.12770358020384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0" i="0" u="none" strike="noStrik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Carga orgánica diaria de los reactores </a:t>
            </a:r>
            <a:endParaRPr lang="en-US" sz="16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2700000" scaled="1"/>
                  <a:tileRect/>
                </a:gradFill>
              </a:ln>
              <a:effectLst/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85-4B3B-BF01-7CC780209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33503"/>
        <c:axId val="278621855"/>
      </c:scatterChart>
      <c:valAx>
        <c:axId val="278633503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78621855"/>
        <c:crosses val="autoZero"/>
        <c:crossBetween val="midCat"/>
        <c:majorUnit val="8"/>
      </c:valAx>
      <c:valAx>
        <c:axId val="2786218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0" i="0" u="none" strike="noStrike" baseline="0">
                    <a:solidFill>
                      <a:schemeClr val="tx1"/>
                    </a:solidFill>
                    <a:latin typeface="+mn-lt"/>
                    <a:cs typeface="Arial" panose="020B0604020202020204" pitchFamily="34" charset="0"/>
                  </a:rPr>
                  <a:t>Carga orgánica diaria (g SV L-1) </a:t>
                </a:r>
                <a:endParaRPr lang="en-US" sz="1600" b="0">
                  <a:solidFill>
                    <a:schemeClr val="tx1"/>
                  </a:solidFill>
                  <a:latin typeface="+mn-lt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78633503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3594452506125544E-2"/>
          <c:y val="0.11461830506567491"/>
          <c:w val="0.86596503080619469"/>
          <c:h val="0.74159877929919826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762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BIOGÁS'!$B$2:$B$69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'GRÁFICA CALIDAD BIOGÁS'!$C$2:$C$69</c:f>
              <c:numCache>
                <c:formatCode>General</c:formatCode>
                <c:ptCount val="68"/>
                <c:pt idx="0">
                  <c:v>0</c:v>
                </c:pt>
                <c:pt idx="1">
                  <c:v>6.3</c:v>
                </c:pt>
                <c:pt idx="2">
                  <c:v>16.899999999999999</c:v>
                </c:pt>
                <c:pt idx="3">
                  <c:v>19.7</c:v>
                </c:pt>
                <c:pt idx="4">
                  <c:v>20.2</c:v>
                </c:pt>
                <c:pt idx="5">
                  <c:v>26.1</c:v>
                </c:pt>
                <c:pt idx="6">
                  <c:v>32.700000000000003</c:v>
                </c:pt>
                <c:pt idx="7">
                  <c:v>37.1</c:v>
                </c:pt>
                <c:pt idx="8">
                  <c:v>42.6</c:v>
                </c:pt>
                <c:pt idx="9">
                  <c:v>50.9</c:v>
                </c:pt>
                <c:pt idx="10">
                  <c:v>59.8</c:v>
                </c:pt>
                <c:pt idx="11">
                  <c:v>64.8</c:v>
                </c:pt>
                <c:pt idx="12">
                  <c:v>68.599999999999994</c:v>
                </c:pt>
                <c:pt idx="13">
                  <c:v>70.8</c:v>
                </c:pt>
                <c:pt idx="14">
                  <c:v>72.7</c:v>
                </c:pt>
                <c:pt idx="15">
                  <c:v>69.2</c:v>
                </c:pt>
                <c:pt idx="16">
                  <c:v>60.4</c:v>
                </c:pt>
                <c:pt idx="17">
                  <c:v>65.5</c:v>
                </c:pt>
                <c:pt idx="18">
                  <c:v>68.7</c:v>
                </c:pt>
                <c:pt idx="19">
                  <c:v>71.3</c:v>
                </c:pt>
                <c:pt idx="20">
                  <c:v>74.400000000000006</c:v>
                </c:pt>
                <c:pt idx="21">
                  <c:v>73.5</c:v>
                </c:pt>
                <c:pt idx="22">
                  <c:v>70.900000000000006</c:v>
                </c:pt>
                <c:pt idx="23">
                  <c:v>69.8</c:v>
                </c:pt>
                <c:pt idx="24">
                  <c:v>70.900000000000006</c:v>
                </c:pt>
                <c:pt idx="25">
                  <c:v>65.400000000000006</c:v>
                </c:pt>
                <c:pt idx="26">
                  <c:v>65.5</c:v>
                </c:pt>
                <c:pt idx="27">
                  <c:v>70.099999999999994</c:v>
                </c:pt>
                <c:pt idx="28">
                  <c:v>67.8</c:v>
                </c:pt>
                <c:pt idx="29">
                  <c:v>68.8</c:v>
                </c:pt>
                <c:pt idx="30">
                  <c:v>65.5</c:v>
                </c:pt>
                <c:pt idx="31">
                  <c:v>67.599999999999994</c:v>
                </c:pt>
                <c:pt idx="32">
                  <c:v>68.7</c:v>
                </c:pt>
                <c:pt idx="33">
                  <c:v>65.3</c:v>
                </c:pt>
                <c:pt idx="34">
                  <c:v>68</c:v>
                </c:pt>
                <c:pt idx="35">
                  <c:v>69.8</c:v>
                </c:pt>
                <c:pt idx="36">
                  <c:v>64.8</c:v>
                </c:pt>
                <c:pt idx="37">
                  <c:v>62.4</c:v>
                </c:pt>
                <c:pt idx="38">
                  <c:v>69.599999999999994</c:v>
                </c:pt>
                <c:pt idx="39">
                  <c:v>67.400000000000006</c:v>
                </c:pt>
                <c:pt idx="40">
                  <c:v>65</c:v>
                </c:pt>
                <c:pt idx="41">
                  <c:v>63.2</c:v>
                </c:pt>
                <c:pt idx="42">
                  <c:v>62.8</c:v>
                </c:pt>
                <c:pt idx="43">
                  <c:v>58.6</c:v>
                </c:pt>
                <c:pt idx="44">
                  <c:v>66.400000000000006</c:v>
                </c:pt>
                <c:pt idx="45">
                  <c:v>68.400000000000006</c:v>
                </c:pt>
                <c:pt idx="46">
                  <c:v>68.8</c:v>
                </c:pt>
                <c:pt idx="47">
                  <c:v>59.2</c:v>
                </c:pt>
                <c:pt idx="48">
                  <c:v>55.5</c:v>
                </c:pt>
                <c:pt idx="49">
                  <c:v>61.4</c:v>
                </c:pt>
                <c:pt idx="50">
                  <c:v>62.3</c:v>
                </c:pt>
                <c:pt idx="51">
                  <c:v>53.5</c:v>
                </c:pt>
                <c:pt idx="52">
                  <c:v>52.3</c:v>
                </c:pt>
                <c:pt idx="53">
                  <c:v>58.3</c:v>
                </c:pt>
                <c:pt idx="54">
                  <c:v>55.8</c:v>
                </c:pt>
                <c:pt idx="55">
                  <c:v>56.2</c:v>
                </c:pt>
                <c:pt idx="56">
                  <c:v>54.2</c:v>
                </c:pt>
                <c:pt idx="57">
                  <c:v>53.3</c:v>
                </c:pt>
                <c:pt idx="58">
                  <c:v>52.5</c:v>
                </c:pt>
                <c:pt idx="59">
                  <c:v>50.9</c:v>
                </c:pt>
                <c:pt idx="60">
                  <c:v>51.9</c:v>
                </c:pt>
                <c:pt idx="61">
                  <c:v>53</c:v>
                </c:pt>
                <c:pt idx="62">
                  <c:v>50.2</c:v>
                </c:pt>
                <c:pt idx="63">
                  <c:v>47.6</c:v>
                </c:pt>
                <c:pt idx="64">
                  <c:v>52.4</c:v>
                </c:pt>
                <c:pt idx="65">
                  <c:v>53.2</c:v>
                </c:pt>
                <c:pt idx="66">
                  <c:v>18.8</c:v>
                </c:pt>
                <c:pt idx="67">
                  <c:v>10.5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D3-4932-B213-E32A20B65FA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762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BIOGÁS'!$B$2:$B$69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'GRÁFICA CALIDAD BIOGÁS'!$H$2:$H$69</c:f>
              <c:numCache>
                <c:formatCode>General</c:formatCode>
                <c:ptCount val="68"/>
                <c:pt idx="0">
                  <c:v>0</c:v>
                </c:pt>
                <c:pt idx="1">
                  <c:v>6.8</c:v>
                </c:pt>
                <c:pt idx="2">
                  <c:v>15.8</c:v>
                </c:pt>
                <c:pt idx="3">
                  <c:v>18.2</c:v>
                </c:pt>
                <c:pt idx="4">
                  <c:v>19.3</c:v>
                </c:pt>
                <c:pt idx="5">
                  <c:v>25.3</c:v>
                </c:pt>
                <c:pt idx="6">
                  <c:v>30.2</c:v>
                </c:pt>
                <c:pt idx="7">
                  <c:v>36.5</c:v>
                </c:pt>
                <c:pt idx="8">
                  <c:v>42.6</c:v>
                </c:pt>
                <c:pt idx="9">
                  <c:v>49.2</c:v>
                </c:pt>
                <c:pt idx="10">
                  <c:v>58.9</c:v>
                </c:pt>
                <c:pt idx="11">
                  <c:v>63.3</c:v>
                </c:pt>
                <c:pt idx="12">
                  <c:v>65.8</c:v>
                </c:pt>
                <c:pt idx="13">
                  <c:v>69.3</c:v>
                </c:pt>
                <c:pt idx="14">
                  <c:v>68.599999999999994</c:v>
                </c:pt>
                <c:pt idx="15">
                  <c:v>68.900000000000006</c:v>
                </c:pt>
                <c:pt idx="16">
                  <c:v>63.7</c:v>
                </c:pt>
                <c:pt idx="17">
                  <c:v>69</c:v>
                </c:pt>
                <c:pt idx="18">
                  <c:v>72.099999999999994</c:v>
                </c:pt>
                <c:pt idx="19">
                  <c:v>74.099999999999994</c:v>
                </c:pt>
                <c:pt idx="20">
                  <c:v>73.099999999999994</c:v>
                </c:pt>
                <c:pt idx="21">
                  <c:v>69.8</c:v>
                </c:pt>
                <c:pt idx="22">
                  <c:v>68.900000000000006</c:v>
                </c:pt>
                <c:pt idx="23">
                  <c:v>74.2</c:v>
                </c:pt>
                <c:pt idx="24">
                  <c:v>68.599999999999994</c:v>
                </c:pt>
                <c:pt idx="25">
                  <c:v>69.099999999999994</c:v>
                </c:pt>
                <c:pt idx="26">
                  <c:v>68.400000000000006</c:v>
                </c:pt>
                <c:pt idx="27">
                  <c:v>64.900000000000006</c:v>
                </c:pt>
                <c:pt idx="28">
                  <c:v>67.099999999999994</c:v>
                </c:pt>
                <c:pt idx="29">
                  <c:v>67.5</c:v>
                </c:pt>
                <c:pt idx="30">
                  <c:v>66.400000000000006</c:v>
                </c:pt>
                <c:pt idx="31">
                  <c:v>65.2</c:v>
                </c:pt>
                <c:pt idx="32">
                  <c:v>69.8</c:v>
                </c:pt>
                <c:pt idx="33">
                  <c:v>66.3</c:v>
                </c:pt>
                <c:pt idx="34">
                  <c:v>68.099999999999994</c:v>
                </c:pt>
                <c:pt idx="35">
                  <c:v>69.599999999999994</c:v>
                </c:pt>
                <c:pt idx="36">
                  <c:v>65.599999999999994</c:v>
                </c:pt>
                <c:pt idx="37">
                  <c:v>69.8</c:v>
                </c:pt>
                <c:pt idx="38">
                  <c:v>70.8</c:v>
                </c:pt>
                <c:pt idx="39">
                  <c:v>67.2</c:v>
                </c:pt>
                <c:pt idx="40">
                  <c:v>66.5</c:v>
                </c:pt>
                <c:pt idx="41">
                  <c:v>60.2</c:v>
                </c:pt>
                <c:pt idx="42">
                  <c:v>61.1</c:v>
                </c:pt>
                <c:pt idx="43">
                  <c:v>60.9</c:v>
                </c:pt>
                <c:pt idx="44">
                  <c:v>70.099999999999994</c:v>
                </c:pt>
                <c:pt idx="45">
                  <c:v>71.2</c:v>
                </c:pt>
                <c:pt idx="46">
                  <c:v>69.5</c:v>
                </c:pt>
                <c:pt idx="47">
                  <c:v>64.3</c:v>
                </c:pt>
                <c:pt idx="48">
                  <c:v>60.7</c:v>
                </c:pt>
                <c:pt idx="49">
                  <c:v>65.900000000000006</c:v>
                </c:pt>
                <c:pt idx="50">
                  <c:v>63.6</c:v>
                </c:pt>
                <c:pt idx="51">
                  <c:v>64</c:v>
                </c:pt>
                <c:pt idx="52">
                  <c:v>62.5</c:v>
                </c:pt>
                <c:pt idx="53">
                  <c:v>62.7</c:v>
                </c:pt>
                <c:pt idx="54">
                  <c:v>61.8</c:v>
                </c:pt>
                <c:pt idx="55">
                  <c:v>59</c:v>
                </c:pt>
                <c:pt idx="56">
                  <c:v>59.5</c:v>
                </c:pt>
                <c:pt idx="57">
                  <c:v>57.7</c:v>
                </c:pt>
                <c:pt idx="58">
                  <c:v>57.2</c:v>
                </c:pt>
                <c:pt idx="59">
                  <c:v>54.1</c:v>
                </c:pt>
                <c:pt idx="60">
                  <c:v>57.4</c:v>
                </c:pt>
                <c:pt idx="61">
                  <c:v>59.6</c:v>
                </c:pt>
                <c:pt idx="62">
                  <c:v>54.8</c:v>
                </c:pt>
                <c:pt idx="63">
                  <c:v>49.8</c:v>
                </c:pt>
                <c:pt idx="64">
                  <c:v>53.1</c:v>
                </c:pt>
                <c:pt idx="65">
                  <c:v>53.2</c:v>
                </c:pt>
                <c:pt idx="66">
                  <c:v>17.8</c:v>
                </c:pt>
                <c:pt idx="67">
                  <c:v>9.1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D3-4932-B213-E32A20B65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030463"/>
        <c:axId val="2036030879"/>
      </c:scatterChart>
      <c:valAx>
        <c:axId val="2036030463"/>
        <c:scaling>
          <c:orientation val="minMax"/>
          <c:max val="15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="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(Dias)</a:t>
                </a:r>
                <a:endParaRPr lang="en-US" sz="1400" b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8573325909744055"/>
              <c:y val="0.92167892282822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6030879"/>
        <c:crosses val="autoZero"/>
        <c:crossBetween val="midCat"/>
        <c:majorUnit val="8"/>
      </c:valAx>
      <c:valAx>
        <c:axId val="20360308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CH4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86932940029022E-2"/>
              <c:y val="0.425968679891324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6030463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35779406942615"/>
          <c:y val="0.52011127322141038"/>
          <c:w val="0.15196083486841613"/>
          <c:h val="0.130710795077601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 i="0" baseline="0">
                <a:effectLst/>
              </a:rPr>
              <a:t>Evolución del contenido de sólidos Totales (ST) (g/L) en la mezcla</a:t>
            </a:r>
            <a:endParaRPr lang="es-MX" sz="1400">
              <a:effectLst/>
            </a:endParaRPr>
          </a:p>
          <a:p>
            <a:pPr>
              <a:defRPr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800" b="1" i="0" baseline="0">
                <a:effectLst/>
              </a:rPr>
              <a:t>Corrida a </a:t>
            </a:r>
            <a:r>
              <a:rPr lang="es-MX" sz="1800" b="1" i="0" baseline="0">
                <a:effectLst/>
              </a:rPr>
              <a:t>37ºC</a:t>
            </a:r>
            <a:endParaRPr lang="es-MX" sz="1400">
              <a:effectLst/>
            </a:endParaRPr>
          </a:p>
          <a:p>
            <a:pPr>
              <a:defRPr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7682416340934345E-2"/>
          <c:y val="0.10536985990488154"/>
          <c:w val="0.90749622131710261"/>
          <c:h val="0.78976670091859957"/>
        </c:manualLayout>
      </c:layout>
      <c:scatterChart>
        <c:scatterStyle val="smoothMarker"/>
        <c:varyColors val="0"/>
        <c:ser>
          <c:idx val="0"/>
          <c:order val="0"/>
          <c:tx>
            <c:v>Despues de cargar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'ST Y SV REACTOR 1'!$AD$3:$AD$210</c:f>
                <c:numCache>
                  <c:formatCode>General</c:formatCode>
                  <c:ptCount val="208"/>
                  <c:pt idx="0">
                    <c:v>5.9160634779293841E-2</c:v>
                  </c:pt>
                  <c:pt idx="3">
                    <c:v>0.17758998263176756</c:v>
                  </c:pt>
                  <c:pt idx="6">
                    <c:v>1.1307849434164003</c:v>
                  </c:pt>
                  <c:pt idx="9">
                    <c:v>0.65532615335244038</c:v>
                  </c:pt>
                  <c:pt idx="12">
                    <c:v>0.41408057953206068</c:v>
                  </c:pt>
                  <c:pt idx="15">
                    <c:v>8.1772485374734527E-2</c:v>
                  </c:pt>
                  <c:pt idx="18">
                    <c:v>0.26223028982092367</c:v>
                  </c:pt>
                  <c:pt idx="21">
                    <c:v>0.30736343236123065</c:v>
                  </c:pt>
                  <c:pt idx="24">
                    <c:v>0.32581071367770037</c:v>
                  </c:pt>
                  <c:pt idx="27">
                    <c:v>7.5651256395368682E-2</c:v>
                  </c:pt>
                  <c:pt idx="30">
                    <c:v>1.7837845848381696E-2</c:v>
                  </c:pt>
                  <c:pt idx="33">
                    <c:v>0.22594914586655351</c:v>
                  </c:pt>
                  <c:pt idx="36">
                    <c:v>0.41076821398644114</c:v>
                  </c:pt>
                  <c:pt idx="39">
                    <c:v>0.22982703921788697</c:v>
                  </c:pt>
                  <c:pt idx="42">
                    <c:v>0.81264380746266751</c:v>
                  </c:pt>
                  <c:pt idx="45">
                    <c:v>0.18830863884723617</c:v>
                  </c:pt>
                  <c:pt idx="48">
                    <c:v>0.43951217432966683</c:v>
                  </c:pt>
                  <c:pt idx="51">
                    <c:v>0.15688461250830787</c:v>
                  </c:pt>
                  <c:pt idx="54">
                    <c:v>0.26467683021819555</c:v>
                  </c:pt>
                  <c:pt idx="57">
                    <c:v>0.25217245315633208</c:v>
                  </c:pt>
                  <c:pt idx="60">
                    <c:v>1.2072562596524856</c:v>
                  </c:pt>
                  <c:pt idx="63">
                    <c:v>0.11598490841083976</c:v>
                  </c:pt>
                  <c:pt idx="66">
                    <c:v>0.10545167839157045</c:v>
                  </c:pt>
                  <c:pt idx="69">
                    <c:v>0.15400723365740049</c:v>
                  </c:pt>
                  <c:pt idx="72">
                    <c:v>0.19885904483633043</c:v>
                  </c:pt>
                  <c:pt idx="75">
                    <c:v>0.11247710852601267</c:v>
                  </c:pt>
                  <c:pt idx="78">
                    <c:v>0.16866846253439835</c:v>
                  </c:pt>
                  <c:pt idx="81">
                    <c:v>0.19616355680962455</c:v>
                  </c:pt>
                  <c:pt idx="84">
                    <c:v>7.9200191367405748E-2</c:v>
                  </c:pt>
                  <c:pt idx="87">
                    <c:v>0.27410277696975749</c:v>
                  </c:pt>
                  <c:pt idx="90">
                    <c:v>0.32523494343934645</c:v>
                  </c:pt>
                  <c:pt idx="93">
                    <c:v>0.30010383539034324</c:v>
                  </c:pt>
                  <c:pt idx="96">
                    <c:v>0.14127766370924216</c:v>
                  </c:pt>
                  <c:pt idx="99">
                    <c:v>0.14198318296806334</c:v>
                  </c:pt>
                  <c:pt idx="102">
                    <c:v>0.10640215446161215</c:v>
                  </c:pt>
                  <c:pt idx="105">
                    <c:v>0.15504610254959492</c:v>
                  </c:pt>
                  <c:pt idx="108">
                    <c:v>8.4287505284769915E-2</c:v>
                  </c:pt>
                  <c:pt idx="111">
                    <c:v>5.0033749509591934E-2</c:v>
                  </c:pt>
                  <c:pt idx="114">
                    <c:v>0.38408584490549724</c:v>
                  </c:pt>
                  <c:pt idx="117">
                    <c:v>0.26993003336153254</c:v>
                  </c:pt>
                  <c:pt idx="120">
                    <c:v>3.3770178193519108E-2</c:v>
                  </c:pt>
                  <c:pt idx="123">
                    <c:v>0.16914350900122052</c:v>
                  </c:pt>
                  <c:pt idx="126">
                    <c:v>0.3314022810553392</c:v>
                  </c:pt>
                  <c:pt idx="129">
                    <c:v>0.35104694079064241</c:v>
                  </c:pt>
                  <c:pt idx="132">
                    <c:v>0.15109660957126225</c:v>
                  </c:pt>
                  <c:pt idx="135">
                    <c:v>0.15324262969578079</c:v>
                  </c:pt>
                  <c:pt idx="138">
                    <c:v>0.10594112974822684</c:v>
                  </c:pt>
                  <c:pt idx="141">
                    <c:v>0.73043620980355584</c:v>
                  </c:pt>
                  <c:pt idx="144">
                    <c:v>6.7684972582054678E-2</c:v>
                  </c:pt>
                  <c:pt idx="147">
                    <c:v>5.7277095033819003E-2</c:v>
                  </c:pt>
                  <c:pt idx="150">
                    <c:v>0.13035058597334168</c:v>
                  </c:pt>
                  <c:pt idx="153">
                    <c:v>0.14466628013266633</c:v>
                  </c:pt>
                  <c:pt idx="156">
                    <c:v>1.3320364023843888E-2</c:v>
                  </c:pt>
                  <c:pt idx="159">
                    <c:v>4.586729911590031E-2</c:v>
                  </c:pt>
                  <c:pt idx="162">
                    <c:v>2.3194937382005381E-2</c:v>
                  </c:pt>
                  <c:pt idx="165">
                    <c:v>0.42590442643767562</c:v>
                  </c:pt>
                  <c:pt idx="168">
                    <c:v>0.15691289969906524</c:v>
                  </c:pt>
                  <c:pt idx="171">
                    <c:v>0.23838797311103541</c:v>
                  </c:pt>
                  <c:pt idx="174">
                    <c:v>6.577407282767242E-2</c:v>
                  </c:pt>
                  <c:pt idx="177">
                    <c:v>6.5342552119929509E-2</c:v>
                  </c:pt>
                  <c:pt idx="180">
                    <c:v>0.17169420555113549</c:v>
                  </c:pt>
                  <c:pt idx="183">
                    <c:v>0.14321385796782085</c:v>
                  </c:pt>
                  <c:pt idx="186">
                    <c:v>1.7193191388482743</c:v>
                  </c:pt>
                  <c:pt idx="189">
                    <c:v>0.99518445208049355</c:v>
                  </c:pt>
                  <c:pt idx="192">
                    <c:v>0.84246367462413307</c:v>
                  </c:pt>
                  <c:pt idx="195">
                    <c:v>3.9010077922414184E-2</c:v>
                  </c:pt>
                  <c:pt idx="198">
                    <c:v>0.48829533775330197</c:v>
                  </c:pt>
                  <c:pt idx="201">
                    <c:v>3.87286334474534</c:v>
                  </c:pt>
                  <c:pt idx="204">
                    <c:v>0.85578703350190488</c:v>
                  </c:pt>
                  <c:pt idx="207">
                    <c:v>0.11923871283791197</c:v>
                  </c:pt>
                </c:numCache>
              </c:numRef>
            </c:plus>
            <c:minus>
              <c:numRef>
                <c:f>'ST Y SV REACTOR 1'!$AD$3:$AD$195</c:f>
                <c:numCache>
                  <c:formatCode>General</c:formatCode>
                  <c:ptCount val="193"/>
                  <c:pt idx="0">
                    <c:v>5.9160634779293841E-2</c:v>
                  </c:pt>
                  <c:pt idx="3">
                    <c:v>0.17758998263176756</c:v>
                  </c:pt>
                  <c:pt idx="6">
                    <c:v>1.1307849434164003</c:v>
                  </c:pt>
                  <c:pt idx="9">
                    <c:v>0.65532615335244038</c:v>
                  </c:pt>
                  <c:pt idx="12">
                    <c:v>0.41408057953206068</c:v>
                  </c:pt>
                  <c:pt idx="15">
                    <c:v>8.1772485374734527E-2</c:v>
                  </c:pt>
                  <c:pt idx="18">
                    <c:v>0.26223028982092367</c:v>
                  </c:pt>
                  <c:pt idx="21">
                    <c:v>0.30736343236123065</c:v>
                  </c:pt>
                  <c:pt idx="24">
                    <c:v>0.32581071367770037</c:v>
                  </c:pt>
                  <c:pt idx="27">
                    <c:v>7.5651256395368682E-2</c:v>
                  </c:pt>
                  <c:pt idx="30">
                    <c:v>1.7837845848381696E-2</c:v>
                  </c:pt>
                  <c:pt idx="33">
                    <c:v>0.22594914586655351</c:v>
                  </c:pt>
                  <c:pt idx="36">
                    <c:v>0.41076821398644114</c:v>
                  </c:pt>
                  <c:pt idx="39">
                    <c:v>0.22982703921788697</c:v>
                  </c:pt>
                  <c:pt idx="42">
                    <c:v>0.81264380746266751</c:v>
                  </c:pt>
                  <c:pt idx="45">
                    <c:v>0.18830863884723617</c:v>
                  </c:pt>
                  <c:pt idx="48">
                    <c:v>0.43951217432966683</c:v>
                  </c:pt>
                  <c:pt idx="51">
                    <c:v>0.15688461250830787</c:v>
                  </c:pt>
                  <c:pt idx="54">
                    <c:v>0.26467683021819555</c:v>
                  </c:pt>
                  <c:pt idx="57">
                    <c:v>0.25217245315633208</c:v>
                  </c:pt>
                  <c:pt idx="60">
                    <c:v>1.2072562596524856</c:v>
                  </c:pt>
                  <c:pt idx="63">
                    <c:v>0.11598490841083976</c:v>
                  </c:pt>
                  <c:pt idx="66">
                    <c:v>0.10545167839157045</c:v>
                  </c:pt>
                  <c:pt idx="69">
                    <c:v>0.15400723365740049</c:v>
                  </c:pt>
                  <c:pt idx="72">
                    <c:v>0.19885904483633043</c:v>
                  </c:pt>
                  <c:pt idx="75">
                    <c:v>0.11247710852601267</c:v>
                  </c:pt>
                  <c:pt idx="78">
                    <c:v>0.16866846253439835</c:v>
                  </c:pt>
                  <c:pt idx="81">
                    <c:v>0.19616355680962455</c:v>
                  </c:pt>
                  <c:pt idx="84">
                    <c:v>7.9200191367405748E-2</c:v>
                  </c:pt>
                  <c:pt idx="87">
                    <c:v>0.27410277696975749</c:v>
                  </c:pt>
                  <c:pt idx="90">
                    <c:v>0.32523494343934645</c:v>
                  </c:pt>
                  <c:pt idx="93">
                    <c:v>0.30010383539034324</c:v>
                  </c:pt>
                  <c:pt idx="96">
                    <c:v>0.14127766370924216</c:v>
                  </c:pt>
                  <c:pt idx="99">
                    <c:v>0.14198318296806334</c:v>
                  </c:pt>
                  <c:pt idx="102">
                    <c:v>0.10640215446161215</c:v>
                  </c:pt>
                  <c:pt idx="105">
                    <c:v>0.15504610254959492</c:v>
                  </c:pt>
                  <c:pt idx="108">
                    <c:v>8.4287505284769915E-2</c:v>
                  </c:pt>
                  <c:pt idx="111">
                    <c:v>5.0033749509591934E-2</c:v>
                  </c:pt>
                  <c:pt idx="114">
                    <c:v>0.38408584490549724</c:v>
                  </c:pt>
                  <c:pt idx="117">
                    <c:v>0.26993003336153254</c:v>
                  </c:pt>
                  <c:pt idx="120">
                    <c:v>3.3770178193519108E-2</c:v>
                  </c:pt>
                  <c:pt idx="123">
                    <c:v>0.16914350900122052</c:v>
                  </c:pt>
                  <c:pt idx="126">
                    <c:v>0.3314022810553392</c:v>
                  </c:pt>
                  <c:pt idx="129">
                    <c:v>0.35104694079064241</c:v>
                  </c:pt>
                  <c:pt idx="132">
                    <c:v>0.15109660957126225</c:v>
                  </c:pt>
                  <c:pt idx="135">
                    <c:v>0.15324262969578079</c:v>
                  </c:pt>
                  <c:pt idx="138">
                    <c:v>0.10594112974822684</c:v>
                  </c:pt>
                  <c:pt idx="141">
                    <c:v>0.73043620980355584</c:v>
                  </c:pt>
                  <c:pt idx="144">
                    <c:v>6.7684972582054678E-2</c:v>
                  </c:pt>
                  <c:pt idx="147">
                    <c:v>5.7277095033819003E-2</c:v>
                  </c:pt>
                  <c:pt idx="150">
                    <c:v>0.13035058597334168</c:v>
                  </c:pt>
                  <c:pt idx="153">
                    <c:v>0.14466628013266633</c:v>
                  </c:pt>
                  <c:pt idx="156">
                    <c:v>1.3320364023843888E-2</c:v>
                  </c:pt>
                  <c:pt idx="159">
                    <c:v>4.586729911590031E-2</c:v>
                  </c:pt>
                  <c:pt idx="162">
                    <c:v>2.3194937382005381E-2</c:v>
                  </c:pt>
                  <c:pt idx="165">
                    <c:v>0.42590442643767562</c:v>
                  </c:pt>
                  <c:pt idx="168">
                    <c:v>0.15691289969906524</c:v>
                  </c:pt>
                  <c:pt idx="171">
                    <c:v>0.23838797311103541</c:v>
                  </c:pt>
                  <c:pt idx="174">
                    <c:v>6.577407282767242E-2</c:v>
                  </c:pt>
                  <c:pt idx="177">
                    <c:v>6.5342552119929509E-2</c:v>
                  </c:pt>
                  <c:pt idx="180">
                    <c:v>0.17169420555113549</c:v>
                  </c:pt>
                  <c:pt idx="183">
                    <c:v>0.14321385796782085</c:v>
                  </c:pt>
                  <c:pt idx="186">
                    <c:v>1.7193191388482743</c:v>
                  </c:pt>
                  <c:pt idx="189">
                    <c:v>0.99518445208049355</c:v>
                  </c:pt>
                  <c:pt idx="192">
                    <c:v>0.84246367462413307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1'!$B$3:$B$204</c:f>
              <c:numCache>
                <c:formatCode>General</c:formatCode>
                <c:ptCount val="202"/>
                <c:pt idx="0">
                  <c:v>0</c:v>
                </c:pt>
                <c:pt idx="3">
                  <c:v>2</c:v>
                </c:pt>
                <c:pt idx="6">
                  <c:v>5</c:v>
                </c:pt>
                <c:pt idx="9">
                  <c:v>7</c:v>
                </c:pt>
                <c:pt idx="12">
                  <c:v>9</c:v>
                </c:pt>
                <c:pt idx="15">
                  <c:v>12</c:v>
                </c:pt>
                <c:pt idx="18">
                  <c:v>14</c:v>
                </c:pt>
                <c:pt idx="21">
                  <c:v>16</c:v>
                </c:pt>
                <c:pt idx="24">
                  <c:v>19</c:v>
                </c:pt>
                <c:pt idx="27">
                  <c:v>21</c:v>
                </c:pt>
                <c:pt idx="30">
                  <c:v>23</c:v>
                </c:pt>
                <c:pt idx="33">
                  <c:v>26</c:v>
                </c:pt>
                <c:pt idx="36">
                  <c:v>28</c:v>
                </c:pt>
                <c:pt idx="39">
                  <c:v>30</c:v>
                </c:pt>
                <c:pt idx="42">
                  <c:v>33</c:v>
                </c:pt>
                <c:pt idx="45">
                  <c:v>35</c:v>
                </c:pt>
                <c:pt idx="48">
                  <c:v>37</c:v>
                </c:pt>
                <c:pt idx="51">
                  <c:v>40</c:v>
                </c:pt>
                <c:pt idx="54">
                  <c:v>42</c:v>
                </c:pt>
                <c:pt idx="57">
                  <c:v>44</c:v>
                </c:pt>
                <c:pt idx="60">
                  <c:v>47</c:v>
                </c:pt>
                <c:pt idx="63">
                  <c:v>49</c:v>
                </c:pt>
                <c:pt idx="66">
                  <c:v>51</c:v>
                </c:pt>
                <c:pt idx="69">
                  <c:v>54</c:v>
                </c:pt>
                <c:pt idx="72">
                  <c:v>56</c:v>
                </c:pt>
                <c:pt idx="75">
                  <c:v>58</c:v>
                </c:pt>
                <c:pt idx="78">
                  <c:v>61</c:v>
                </c:pt>
                <c:pt idx="81">
                  <c:v>63</c:v>
                </c:pt>
                <c:pt idx="84">
                  <c:v>65</c:v>
                </c:pt>
                <c:pt idx="87">
                  <c:v>68</c:v>
                </c:pt>
                <c:pt idx="90">
                  <c:v>70</c:v>
                </c:pt>
                <c:pt idx="93">
                  <c:v>72</c:v>
                </c:pt>
                <c:pt idx="96">
                  <c:v>75</c:v>
                </c:pt>
                <c:pt idx="99">
                  <c:v>77</c:v>
                </c:pt>
                <c:pt idx="102">
                  <c:v>79</c:v>
                </c:pt>
                <c:pt idx="105">
                  <c:v>82</c:v>
                </c:pt>
                <c:pt idx="108">
                  <c:v>84</c:v>
                </c:pt>
                <c:pt idx="111">
                  <c:v>86</c:v>
                </c:pt>
                <c:pt idx="114">
                  <c:v>89</c:v>
                </c:pt>
                <c:pt idx="117">
                  <c:v>91</c:v>
                </c:pt>
                <c:pt idx="120">
                  <c:v>93</c:v>
                </c:pt>
                <c:pt idx="123">
                  <c:v>96</c:v>
                </c:pt>
                <c:pt idx="126">
                  <c:v>98</c:v>
                </c:pt>
                <c:pt idx="129">
                  <c:v>100</c:v>
                </c:pt>
                <c:pt idx="132">
                  <c:v>102</c:v>
                </c:pt>
                <c:pt idx="135">
                  <c:v>104</c:v>
                </c:pt>
                <c:pt idx="138">
                  <c:v>107</c:v>
                </c:pt>
                <c:pt idx="141">
                  <c:v>109</c:v>
                </c:pt>
                <c:pt idx="144">
                  <c:v>111</c:v>
                </c:pt>
                <c:pt idx="147">
                  <c:v>115</c:v>
                </c:pt>
                <c:pt idx="150">
                  <c:v>117</c:v>
                </c:pt>
                <c:pt idx="153">
                  <c:v>119</c:v>
                </c:pt>
                <c:pt idx="156">
                  <c:v>122</c:v>
                </c:pt>
                <c:pt idx="159">
                  <c:v>124</c:v>
                </c:pt>
                <c:pt idx="162">
                  <c:v>126</c:v>
                </c:pt>
                <c:pt idx="165">
                  <c:v>129</c:v>
                </c:pt>
                <c:pt idx="168">
                  <c:v>131</c:v>
                </c:pt>
                <c:pt idx="171">
                  <c:v>133</c:v>
                </c:pt>
                <c:pt idx="174">
                  <c:v>136</c:v>
                </c:pt>
                <c:pt idx="177">
                  <c:v>138</c:v>
                </c:pt>
                <c:pt idx="180">
                  <c:v>140</c:v>
                </c:pt>
                <c:pt idx="183">
                  <c:v>143</c:v>
                </c:pt>
                <c:pt idx="186">
                  <c:v>145</c:v>
                </c:pt>
                <c:pt idx="189">
                  <c:v>147</c:v>
                </c:pt>
                <c:pt idx="192">
                  <c:v>150</c:v>
                </c:pt>
                <c:pt idx="195">
                  <c:v>152</c:v>
                </c:pt>
                <c:pt idx="198">
                  <c:v>154</c:v>
                </c:pt>
                <c:pt idx="201">
                  <c:v>157</c:v>
                </c:pt>
              </c:numCache>
            </c:numRef>
          </c:xVal>
          <c:yVal>
            <c:numRef>
              <c:f>'ST Y SV REACTOR 1'!$O$3:$O$207</c:f>
              <c:numCache>
                <c:formatCode>0.00</c:formatCode>
                <c:ptCount val="205"/>
                <c:pt idx="0">
                  <c:v>7.1536422480180413</c:v>
                </c:pt>
                <c:pt idx="3">
                  <c:v>7.0002149863545924</c:v>
                </c:pt>
                <c:pt idx="6">
                  <c:v>6.7816405836194651</c:v>
                </c:pt>
                <c:pt idx="9">
                  <c:v>7.4058088545879333</c:v>
                </c:pt>
                <c:pt idx="12">
                  <c:v>6.9299799406485789</c:v>
                </c:pt>
                <c:pt idx="15">
                  <c:v>7.1467183547696447</c:v>
                </c:pt>
                <c:pt idx="18">
                  <c:v>6.5776423839895655</c:v>
                </c:pt>
                <c:pt idx="21">
                  <c:v>7.0545674026280087</c:v>
                </c:pt>
                <c:pt idx="24">
                  <c:v>6.9980619516709561</c:v>
                </c:pt>
                <c:pt idx="27">
                  <c:v>6.5062470904891665</c:v>
                </c:pt>
                <c:pt idx="30">
                  <c:v>6.173021596236639</c:v>
                </c:pt>
                <c:pt idx="33">
                  <c:v>5.7408359078012907</c:v>
                </c:pt>
                <c:pt idx="36">
                  <c:v>6.2738666699341135</c:v>
                </c:pt>
                <c:pt idx="39">
                  <c:v>6.0896717502462607</c:v>
                </c:pt>
                <c:pt idx="42">
                  <c:v>5.9431650733304346</c:v>
                </c:pt>
                <c:pt idx="45">
                  <c:v>5.880642617266977</c:v>
                </c:pt>
                <c:pt idx="48">
                  <c:v>6.0255544395874416</c:v>
                </c:pt>
                <c:pt idx="51">
                  <c:v>6.1246049210968012</c:v>
                </c:pt>
                <c:pt idx="54">
                  <c:v>5.5991975304551378</c:v>
                </c:pt>
                <c:pt idx="57">
                  <c:v>5.9979398675492686</c:v>
                </c:pt>
                <c:pt idx="60">
                  <c:v>5.3811892650275572</c:v>
                </c:pt>
                <c:pt idx="63">
                  <c:v>6.2461616751865181</c:v>
                </c:pt>
                <c:pt idx="66">
                  <c:v>5.6118239450948284</c:v>
                </c:pt>
                <c:pt idx="69">
                  <c:v>5.1633835577072524</c:v>
                </c:pt>
                <c:pt idx="72">
                  <c:v>5.1722849022754156</c:v>
                </c:pt>
                <c:pt idx="75">
                  <c:v>4.712489283475886</c:v>
                </c:pt>
                <c:pt idx="78">
                  <c:v>5.2370208336679411</c:v>
                </c:pt>
                <c:pt idx="81">
                  <c:v>3.8397537118687453</c:v>
                </c:pt>
                <c:pt idx="84">
                  <c:v>4.6193420979114173</c:v>
                </c:pt>
                <c:pt idx="87">
                  <c:v>5.0039733848250521</c:v>
                </c:pt>
                <c:pt idx="90">
                  <c:v>4.4480134035079466</c:v>
                </c:pt>
                <c:pt idx="93">
                  <c:v>4.4540877425787855</c:v>
                </c:pt>
                <c:pt idx="96">
                  <c:v>4.9021739334830965</c:v>
                </c:pt>
                <c:pt idx="99">
                  <c:v>4.1855863362641559</c:v>
                </c:pt>
                <c:pt idx="102">
                  <c:v>4.004943659865865</c:v>
                </c:pt>
                <c:pt idx="105">
                  <c:v>4.0528401411221591</c:v>
                </c:pt>
                <c:pt idx="108">
                  <c:v>3.7106464302538877</c:v>
                </c:pt>
                <c:pt idx="111">
                  <c:v>3.4864328422000281</c:v>
                </c:pt>
                <c:pt idx="114">
                  <c:v>3.9111837649411614</c:v>
                </c:pt>
                <c:pt idx="117">
                  <c:v>3.5047332749139075</c:v>
                </c:pt>
                <c:pt idx="120">
                  <c:v>3.567184091651213</c:v>
                </c:pt>
                <c:pt idx="123">
                  <c:v>3.5701890052366316</c:v>
                </c:pt>
                <c:pt idx="126">
                  <c:v>3.4531365631410731</c:v>
                </c:pt>
                <c:pt idx="129">
                  <c:v>4.1229571234108802</c:v>
                </c:pt>
                <c:pt idx="132">
                  <c:v>3.8664306245865818</c:v>
                </c:pt>
                <c:pt idx="135">
                  <c:v>3.6902918247416041</c:v>
                </c:pt>
                <c:pt idx="138">
                  <c:v>3.8068847728028037</c:v>
                </c:pt>
                <c:pt idx="141">
                  <c:v>3.3609600081570323</c:v>
                </c:pt>
                <c:pt idx="144">
                  <c:v>3.9109572445647123</c:v>
                </c:pt>
                <c:pt idx="147">
                  <c:v>3.8656987400451328</c:v>
                </c:pt>
                <c:pt idx="150">
                  <c:v>3.938637436744167</c:v>
                </c:pt>
                <c:pt idx="153">
                  <c:v>3.7325154346920884</c:v>
                </c:pt>
                <c:pt idx="156">
                  <c:v>3.870602460527742</c:v>
                </c:pt>
                <c:pt idx="159">
                  <c:v>4.0034966046015912</c:v>
                </c:pt>
                <c:pt idx="162">
                  <c:v>3.9266884296406737</c:v>
                </c:pt>
                <c:pt idx="165">
                  <c:v>4.5881908958681379</c:v>
                </c:pt>
                <c:pt idx="168">
                  <c:v>4.4725350484045068</c:v>
                </c:pt>
                <c:pt idx="171">
                  <c:v>4.4978585050249897</c:v>
                </c:pt>
                <c:pt idx="174">
                  <c:v>4.6884160111382593</c:v>
                </c:pt>
                <c:pt idx="177">
                  <c:v>4.6504929737232175</c:v>
                </c:pt>
                <c:pt idx="180">
                  <c:v>4.5401515788161539</c:v>
                </c:pt>
                <c:pt idx="183">
                  <c:v>4.6520419642910742</c:v>
                </c:pt>
                <c:pt idx="186">
                  <c:v>5.1192919521454083</c:v>
                </c:pt>
                <c:pt idx="189">
                  <c:v>4.2926463674351609</c:v>
                </c:pt>
                <c:pt idx="192">
                  <c:v>4.3685246729404419</c:v>
                </c:pt>
                <c:pt idx="195">
                  <c:v>4.7521400880426263</c:v>
                </c:pt>
                <c:pt idx="198">
                  <c:v>4.1201443586221078</c:v>
                </c:pt>
                <c:pt idx="201">
                  <c:v>5.7264794368782521</c:v>
                </c:pt>
                <c:pt idx="204">
                  <c:v>3.8810297976172388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95-4DFD-BF80-60D644050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946495"/>
        <c:axId val="848944415"/>
      </c:scatterChart>
      <c:valAx>
        <c:axId val="848946495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48944415"/>
        <c:crosses val="autoZero"/>
        <c:crossBetween val="midCat"/>
        <c:majorUnit val="8"/>
      </c:valAx>
      <c:valAx>
        <c:axId val="848944415"/>
        <c:scaling>
          <c:orientation val="minMax"/>
          <c:max val="8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 i="0" baseline="0">
                    <a:effectLst/>
                  </a:rPr>
                  <a:t>Contenido de Sólidos Totales (g/L)</a:t>
                </a:r>
                <a:endParaRPr lang="es-MX" sz="14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48946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6025485876114"/>
          <c:y val="0.1640682684799607"/>
          <c:w val="0.11691585466938867"/>
          <c:h val="2.7222181451004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Evolución del contenido de sólidos volátiles (SV) (g/L) en la mezcla</a:t>
            </a:r>
            <a:endParaRPr lang="es-MX" sz="14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Corrida a </a:t>
            </a:r>
            <a:r>
              <a:rPr lang="es-MX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37ºC</a:t>
            </a:r>
            <a:endParaRPr lang="es-MX" sz="14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5913855768342745"/>
          <c:y val="3.5112305618982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66274614444072"/>
          <c:y val="0.13368770771457236"/>
          <c:w val="0.85495014127639768"/>
          <c:h val="0.72188314259068753"/>
        </c:manualLayout>
      </c:layout>
      <c:scatterChart>
        <c:scatterStyle val="smoothMarker"/>
        <c:varyColors val="0"/>
        <c:ser>
          <c:idx val="0"/>
          <c:order val="0"/>
          <c:tx>
            <c:v>Despues de cargar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'ST Y SV REACTOR 1'!$AD$3:$AD$210</c:f>
                <c:numCache>
                  <c:formatCode>General</c:formatCode>
                  <c:ptCount val="208"/>
                  <c:pt idx="0">
                    <c:v>5.9160634779293841E-2</c:v>
                  </c:pt>
                  <c:pt idx="3">
                    <c:v>0.17758998263176756</c:v>
                  </c:pt>
                  <c:pt idx="6">
                    <c:v>1.1307849434164003</c:v>
                  </c:pt>
                  <c:pt idx="9">
                    <c:v>0.65532615335244038</c:v>
                  </c:pt>
                  <c:pt idx="12">
                    <c:v>0.41408057953206068</c:v>
                  </c:pt>
                  <c:pt idx="15">
                    <c:v>8.1772485374734527E-2</c:v>
                  </c:pt>
                  <c:pt idx="18">
                    <c:v>0.26223028982092367</c:v>
                  </c:pt>
                  <c:pt idx="21">
                    <c:v>0.30736343236123065</c:v>
                  </c:pt>
                  <c:pt idx="24">
                    <c:v>0.32581071367770037</c:v>
                  </c:pt>
                  <c:pt idx="27">
                    <c:v>7.5651256395368682E-2</c:v>
                  </c:pt>
                  <c:pt idx="30">
                    <c:v>1.7837845848381696E-2</c:v>
                  </c:pt>
                  <c:pt idx="33">
                    <c:v>0.22594914586655351</c:v>
                  </c:pt>
                  <c:pt idx="36">
                    <c:v>0.41076821398644114</c:v>
                  </c:pt>
                  <c:pt idx="39">
                    <c:v>0.22982703921788697</c:v>
                  </c:pt>
                  <c:pt idx="42">
                    <c:v>0.81264380746266751</c:v>
                  </c:pt>
                  <c:pt idx="45">
                    <c:v>0.18830863884723617</c:v>
                  </c:pt>
                  <c:pt idx="48">
                    <c:v>0.43951217432966683</c:v>
                  </c:pt>
                  <c:pt idx="51">
                    <c:v>0.15688461250830787</c:v>
                  </c:pt>
                  <c:pt idx="54">
                    <c:v>0.26467683021819555</c:v>
                  </c:pt>
                  <c:pt idx="57">
                    <c:v>0.25217245315633208</c:v>
                  </c:pt>
                  <c:pt idx="60">
                    <c:v>1.2072562596524856</c:v>
                  </c:pt>
                  <c:pt idx="63">
                    <c:v>0.11598490841083976</c:v>
                  </c:pt>
                  <c:pt idx="66">
                    <c:v>0.10545167839157045</c:v>
                  </c:pt>
                  <c:pt idx="69">
                    <c:v>0.15400723365740049</c:v>
                  </c:pt>
                  <c:pt idx="72">
                    <c:v>0.19885904483633043</c:v>
                  </c:pt>
                  <c:pt idx="75">
                    <c:v>0.11247710852601267</c:v>
                  </c:pt>
                  <c:pt idx="78">
                    <c:v>0.16866846253439835</c:v>
                  </c:pt>
                  <c:pt idx="81">
                    <c:v>0.19616355680962455</c:v>
                  </c:pt>
                  <c:pt idx="84">
                    <c:v>7.9200191367405748E-2</c:v>
                  </c:pt>
                  <c:pt idx="87">
                    <c:v>0.27410277696975749</c:v>
                  </c:pt>
                  <c:pt idx="90">
                    <c:v>0.32523494343934645</c:v>
                  </c:pt>
                  <c:pt idx="93">
                    <c:v>0.30010383539034324</c:v>
                  </c:pt>
                  <c:pt idx="96">
                    <c:v>0.14127766370924216</c:v>
                  </c:pt>
                  <c:pt idx="99">
                    <c:v>0.14198318296806334</c:v>
                  </c:pt>
                  <c:pt idx="102">
                    <c:v>0.10640215446161215</c:v>
                  </c:pt>
                  <c:pt idx="105">
                    <c:v>0.15504610254959492</c:v>
                  </c:pt>
                  <c:pt idx="108">
                    <c:v>8.4287505284769915E-2</c:v>
                  </c:pt>
                  <c:pt idx="111">
                    <c:v>5.0033749509591934E-2</c:v>
                  </c:pt>
                  <c:pt idx="114">
                    <c:v>0.38408584490549724</c:v>
                  </c:pt>
                  <c:pt idx="117">
                    <c:v>0.26993003336153254</c:v>
                  </c:pt>
                  <c:pt idx="120">
                    <c:v>3.3770178193519108E-2</c:v>
                  </c:pt>
                  <c:pt idx="123">
                    <c:v>0.16914350900122052</c:v>
                  </c:pt>
                  <c:pt idx="126">
                    <c:v>0.3314022810553392</c:v>
                  </c:pt>
                  <c:pt idx="129">
                    <c:v>0.35104694079064241</c:v>
                  </c:pt>
                  <c:pt idx="132">
                    <c:v>0.15109660957126225</c:v>
                  </c:pt>
                  <c:pt idx="135">
                    <c:v>0.15324262969578079</c:v>
                  </c:pt>
                  <c:pt idx="138">
                    <c:v>0.10594112974822684</c:v>
                  </c:pt>
                  <c:pt idx="141">
                    <c:v>0.73043620980355584</c:v>
                  </c:pt>
                  <c:pt idx="144">
                    <c:v>6.7684972582054678E-2</c:v>
                  </c:pt>
                  <c:pt idx="147">
                    <c:v>5.7277095033819003E-2</c:v>
                  </c:pt>
                  <c:pt idx="150">
                    <c:v>0.13035058597334168</c:v>
                  </c:pt>
                  <c:pt idx="153">
                    <c:v>0.14466628013266633</c:v>
                  </c:pt>
                  <c:pt idx="156">
                    <c:v>1.3320364023843888E-2</c:v>
                  </c:pt>
                  <c:pt idx="159">
                    <c:v>4.586729911590031E-2</c:v>
                  </c:pt>
                  <c:pt idx="162">
                    <c:v>2.3194937382005381E-2</c:v>
                  </c:pt>
                  <c:pt idx="165">
                    <c:v>0.42590442643767562</c:v>
                  </c:pt>
                  <c:pt idx="168">
                    <c:v>0.15691289969906524</c:v>
                  </c:pt>
                  <c:pt idx="171">
                    <c:v>0.23838797311103541</c:v>
                  </c:pt>
                  <c:pt idx="174">
                    <c:v>6.577407282767242E-2</c:v>
                  </c:pt>
                  <c:pt idx="177">
                    <c:v>6.5342552119929509E-2</c:v>
                  </c:pt>
                  <c:pt idx="180">
                    <c:v>0.17169420555113549</c:v>
                  </c:pt>
                  <c:pt idx="183">
                    <c:v>0.14321385796782085</c:v>
                  </c:pt>
                  <c:pt idx="186">
                    <c:v>1.7193191388482743</c:v>
                  </c:pt>
                  <c:pt idx="189">
                    <c:v>0.99518445208049355</c:v>
                  </c:pt>
                  <c:pt idx="192">
                    <c:v>0.84246367462413307</c:v>
                  </c:pt>
                  <c:pt idx="195">
                    <c:v>3.9010077922414184E-2</c:v>
                  </c:pt>
                  <c:pt idx="198">
                    <c:v>0.48829533775330197</c:v>
                  </c:pt>
                  <c:pt idx="201">
                    <c:v>3.87286334474534</c:v>
                  </c:pt>
                  <c:pt idx="204">
                    <c:v>0.85578703350190488</c:v>
                  </c:pt>
                  <c:pt idx="207">
                    <c:v>0.11923871283791197</c:v>
                  </c:pt>
                </c:numCache>
              </c:numRef>
            </c:plus>
            <c:minus>
              <c:numRef>
                <c:f>'ST Y SV REACTOR 1'!$AD$3:$AD$210</c:f>
                <c:numCache>
                  <c:formatCode>General</c:formatCode>
                  <c:ptCount val="208"/>
                  <c:pt idx="0">
                    <c:v>5.9160634779293841E-2</c:v>
                  </c:pt>
                  <c:pt idx="3">
                    <c:v>0.17758998263176756</c:v>
                  </c:pt>
                  <c:pt idx="6">
                    <c:v>1.1307849434164003</c:v>
                  </c:pt>
                  <c:pt idx="9">
                    <c:v>0.65532615335244038</c:v>
                  </c:pt>
                  <c:pt idx="12">
                    <c:v>0.41408057953206068</c:v>
                  </c:pt>
                  <c:pt idx="15">
                    <c:v>8.1772485374734527E-2</c:v>
                  </c:pt>
                  <c:pt idx="18">
                    <c:v>0.26223028982092367</c:v>
                  </c:pt>
                  <c:pt idx="21">
                    <c:v>0.30736343236123065</c:v>
                  </c:pt>
                  <c:pt idx="24">
                    <c:v>0.32581071367770037</c:v>
                  </c:pt>
                  <c:pt idx="27">
                    <c:v>7.5651256395368682E-2</c:v>
                  </c:pt>
                  <c:pt idx="30">
                    <c:v>1.7837845848381696E-2</c:v>
                  </c:pt>
                  <c:pt idx="33">
                    <c:v>0.22594914586655351</c:v>
                  </c:pt>
                  <c:pt idx="36">
                    <c:v>0.41076821398644114</c:v>
                  </c:pt>
                  <c:pt idx="39">
                    <c:v>0.22982703921788697</c:v>
                  </c:pt>
                  <c:pt idx="42">
                    <c:v>0.81264380746266751</c:v>
                  </c:pt>
                  <c:pt idx="45">
                    <c:v>0.18830863884723617</c:v>
                  </c:pt>
                  <c:pt idx="48">
                    <c:v>0.43951217432966683</c:v>
                  </c:pt>
                  <c:pt idx="51">
                    <c:v>0.15688461250830787</c:v>
                  </c:pt>
                  <c:pt idx="54">
                    <c:v>0.26467683021819555</c:v>
                  </c:pt>
                  <c:pt idx="57">
                    <c:v>0.25217245315633208</c:v>
                  </c:pt>
                  <c:pt idx="60">
                    <c:v>1.2072562596524856</c:v>
                  </c:pt>
                  <c:pt idx="63">
                    <c:v>0.11598490841083976</c:v>
                  </c:pt>
                  <c:pt idx="66">
                    <c:v>0.10545167839157045</c:v>
                  </c:pt>
                  <c:pt idx="69">
                    <c:v>0.15400723365740049</c:v>
                  </c:pt>
                  <c:pt idx="72">
                    <c:v>0.19885904483633043</c:v>
                  </c:pt>
                  <c:pt idx="75">
                    <c:v>0.11247710852601267</c:v>
                  </c:pt>
                  <c:pt idx="78">
                    <c:v>0.16866846253439835</c:v>
                  </c:pt>
                  <c:pt idx="81">
                    <c:v>0.19616355680962455</c:v>
                  </c:pt>
                  <c:pt idx="84">
                    <c:v>7.9200191367405748E-2</c:v>
                  </c:pt>
                  <c:pt idx="87">
                    <c:v>0.27410277696975749</c:v>
                  </c:pt>
                  <c:pt idx="90">
                    <c:v>0.32523494343934645</c:v>
                  </c:pt>
                  <c:pt idx="93">
                    <c:v>0.30010383539034324</c:v>
                  </c:pt>
                  <c:pt idx="96">
                    <c:v>0.14127766370924216</c:v>
                  </c:pt>
                  <c:pt idx="99">
                    <c:v>0.14198318296806334</c:v>
                  </c:pt>
                  <c:pt idx="102">
                    <c:v>0.10640215446161215</c:v>
                  </c:pt>
                  <c:pt idx="105">
                    <c:v>0.15504610254959492</c:v>
                  </c:pt>
                  <c:pt idx="108">
                    <c:v>8.4287505284769915E-2</c:v>
                  </c:pt>
                  <c:pt idx="111">
                    <c:v>5.0033749509591934E-2</c:v>
                  </c:pt>
                  <c:pt idx="114">
                    <c:v>0.38408584490549724</c:v>
                  </c:pt>
                  <c:pt idx="117">
                    <c:v>0.26993003336153254</c:v>
                  </c:pt>
                  <c:pt idx="120">
                    <c:v>3.3770178193519108E-2</c:v>
                  </c:pt>
                  <c:pt idx="123">
                    <c:v>0.16914350900122052</c:v>
                  </c:pt>
                  <c:pt idx="126">
                    <c:v>0.3314022810553392</c:v>
                  </c:pt>
                  <c:pt idx="129">
                    <c:v>0.35104694079064241</c:v>
                  </c:pt>
                  <c:pt idx="132">
                    <c:v>0.15109660957126225</c:v>
                  </c:pt>
                  <c:pt idx="135">
                    <c:v>0.15324262969578079</c:v>
                  </c:pt>
                  <c:pt idx="138">
                    <c:v>0.10594112974822684</c:v>
                  </c:pt>
                  <c:pt idx="141">
                    <c:v>0.73043620980355584</c:v>
                  </c:pt>
                  <c:pt idx="144">
                    <c:v>6.7684972582054678E-2</c:v>
                  </c:pt>
                  <c:pt idx="147">
                    <c:v>5.7277095033819003E-2</c:v>
                  </c:pt>
                  <c:pt idx="150">
                    <c:v>0.13035058597334168</c:v>
                  </c:pt>
                  <c:pt idx="153">
                    <c:v>0.14466628013266633</c:v>
                  </c:pt>
                  <c:pt idx="156">
                    <c:v>1.3320364023843888E-2</c:v>
                  </c:pt>
                  <c:pt idx="159">
                    <c:v>4.586729911590031E-2</c:v>
                  </c:pt>
                  <c:pt idx="162">
                    <c:v>2.3194937382005381E-2</c:v>
                  </c:pt>
                  <c:pt idx="165">
                    <c:v>0.42590442643767562</c:v>
                  </c:pt>
                  <c:pt idx="168">
                    <c:v>0.15691289969906524</c:v>
                  </c:pt>
                  <c:pt idx="171">
                    <c:v>0.23838797311103541</c:v>
                  </c:pt>
                  <c:pt idx="174">
                    <c:v>6.577407282767242E-2</c:v>
                  </c:pt>
                  <c:pt idx="177">
                    <c:v>6.5342552119929509E-2</c:v>
                  </c:pt>
                  <c:pt idx="180">
                    <c:v>0.17169420555113549</c:v>
                  </c:pt>
                  <c:pt idx="183">
                    <c:v>0.14321385796782085</c:v>
                  </c:pt>
                  <c:pt idx="186">
                    <c:v>1.7193191388482743</c:v>
                  </c:pt>
                  <c:pt idx="189">
                    <c:v>0.99518445208049355</c:v>
                  </c:pt>
                  <c:pt idx="192">
                    <c:v>0.84246367462413307</c:v>
                  </c:pt>
                  <c:pt idx="195">
                    <c:v>3.9010077922414184E-2</c:v>
                  </c:pt>
                  <c:pt idx="198">
                    <c:v>0.48829533775330197</c:v>
                  </c:pt>
                  <c:pt idx="201">
                    <c:v>3.87286334474534</c:v>
                  </c:pt>
                  <c:pt idx="204">
                    <c:v>0.85578703350190488</c:v>
                  </c:pt>
                  <c:pt idx="207">
                    <c:v>0.11923871283791197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1'!$B$3:$B$207</c:f>
              <c:numCache>
                <c:formatCode>General</c:formatCode>
                <c:ptCount val="205"/>
                <c:pt idx="0">
                  <c:v>0</c:v>
                </c:pt>
                <c:pt idx="3">
                  <c:v>2</c:v>
                </c:pt>
                <c:pt idx="6">
                  <c:v>5</c:v>
                </c:pt>
                <c:pt idx="9">
                  <c:v>7</c:v>
                </c:pt>
                <c:pt idx="12">
                  <c:v>9</c:v>
                </c:pt>
                <c:pt idx="15">
                  <c:v>12</c:v>
                </c:pt>
                <c:pt idx="18">
                  <c:v>14</c:v>
                </c:pt>
                <c:pt idx="21">
                  <c:v>16</c:v>
                </c:pt>
                <c:pt idx="24">
                  <c:v>19</c:v>
                </c:pt>
                <c:pt idx="27">
                  <c:v>21</c:v>
                </c:pt>
                <c:pt idx="30">
                  <c:v>23</c:v>
                </c:pt>
                <c:pt idx="33">
                  <c:v>26</c:v>
                </c:pt>
                <c:pt idx="36">
                  <c:v>28</c:v>
                </c:pt>
                <c:pt idx="39">
                  <c:v>30</c:v>
                </c:pt>
                <c:pt idx="42">
                  <c:v>33</c:v>
                </c:pt>
                <c:pt idx="45">
                  <c:v>35</c:v>
                </c:pt>
                <c:pt idx="48">
                  <c:v>37</c:v>
                </c:pt>
                <c:pt idx="51">
                  <c:v>40</c:v>
                </c:pt>
                <c:pt idx="54">
                  <c:v>42</c:v>
                </c:pt>
                <c:pt idx="57">
                  <c:v>44</c:v>
                </c:pt>
                <c:pt idx="60">
                  <c:v>47</c:v>
                </c:pt>
                <c:pt idx="63">
                  <c:v>49</c:v>
                </c:pt>
                <c:pt idx="66">
                  <c:v>51</c:v>
                </c:pt>
                <c:pt idx="69">
                  <c:v>54</c:v>
                </c:pt>
                <c:pt idx="72">
                  <c:v>56</c:v>
                </c:pt>
                <c:pt idx="75">
                  <c:v>58</c:v>
                </c:pt>
                <c:pt idx="78">
                  <c:v>61</c:v>
                </c:pt>
                <c:pt idx="81">
                  <c:v>63</c:v>
                </c:pt>
                <c:pt idx="84">
                  <c:v>65</c:v>
                </c:pt>
                <c:pt idx="87">
                  <c:v>68</c:v>
                </c:pt>
                <c:pt idx="90">
                  <c:v>70</c:v>
                </c:pt>
                <c:pt idx="93">
                  <c:v>72</c:v>
                </c:pt>
                <c:pt idx="96">
                  <c:v>75</c:v>
                </c:pt>
                <c:pt idx="99">
                  <c:v>77</c:v>
                </c:pt>
                <c:pt idx="102">
                  <c:v>79</c:v>
                </c:pt>
                <c:pt idx="105">
                  <c:v>82</c:v>
                </c:pt>
                <c:pt idx="108">
                  <c:v>84</c:v>
                </c:pt>
                <c:pt idx="111">
                  <c:v>86</c:v>
                </c:pt>
                <c:pt idx="114">
                  <c:v>89</c:v>
                </c:pt>
                <c:pt idx="117">
                  <c:v>91</c:v>
                </c:pt>
                <c:pt idx="120">
                  <c:v>93</c:v>
                </c:pt>
                <c:pt idx="123">
                  <c:v>96</c:v>
                </c:pt>
                <c:pt idx="126">
                  <c:v>98</c:v>
                </c:pt>
                <c:pt idx="129">
                  <c:v>100</c:v>
                </c:pt>
                <c:pt idx="132">
                  <c:v>102</c:v>
                </c:pt>
                <c:pt idx="135">
                  <c:v>104</c:v>
                </c:pt>
                <c:pt idx="138">
                  <c:v>107</c:v>
                </c:pt>
                <c:pt idx="141">
                  <c:v>109</c:v>
                </c:pt>
                <c:pt idx="144">
                  <c:v>111</c:v>
                </c:pt>
                <c:pt idx="147">
                  <c:v>115</c:v>
                </c:pt>
                <c:pt idx="150">
                  <c:v>117</c:v>
                </c:pt>
                <c:pt idx="153">
                  <c:v>119</c:v>
                </c:pt>
                <c:pt idx="156">
                  <c:v>122</c:v>
                </c:pt>
                <c:pt idx="159">
                  <c:v>124</c:v>
                </c:pt>
                <c:pt idx="162">
                  <c:v>126</c:v>
                </c:pt>
                <c:pt idx="165">
                  <c:v>129</c:v>
                </c:pt>
                <c:pt idx="168">
                  <c:v>131</c:v>
                </c:pt>
                <c:pt idx="171">
                  <c:v>133</c:v>
                </c:pt>
                <c:pt idx="174">
                  <c:v>136</c:v>
                </c:pt>
                <c:pt idx="177">
                  <c:v>138</c:v>
                </c:pt>
                <c:pt idx="180">
                  <c:v>140</c:v>
                </c:pt>
                <c:pt idx="183">
                  <c:v>143</c:v>
                </c:pt>
                <c:pt idx="186">
                  <c:v>145</c:v>
                </c:pt>
                <c:pt idx="189">
                  <c:v>147</c:v>
                </c:pt>
                <c:pt idx="192">
                  <c:v>150</c:v>
                </c:pt>
                <c:pt idx="195">
                  <c:v>152</c:v>
                </c:pt>
                <c:pt idx="198">
                  <c:v>154</c:v>
                </c:pt>
                <c:pt idx="201">
                  <c:v>157</c:v>
                </c:pt>
                <c:pt idx="204">
                  <c:v>159</c:v>
                </c:pt>
              </c:numCache>
            </c:numRef>
          </c:xVal>
          <c:yVal>
            <c:numRef>
              <c:f>'ST Y SV REACTOR 1'!$S$3:$S$210</c:f>
              <c:numCache>
                <c:formatCode>0.00</c:formatCode>
                <c:ptCount val="208"/>
                <c:pt idx="0">
                  <c:v>70.107104900671061</c:v>
                </c:pt>
                <c:pt idx="3">
                  <c:v>67.406955953554899</c:v>
                </c:pt>
                <c:pt idx="6">
                  <c:v>112.5778006507246</c:v>
                </c:pt>
                <c:pt idx="9">
                  <c:v>63.387638783270184</c:v>
                </c:pt>
                <c:pt idx="12">
                  <c:v>66.661723791713172</c:v>
                </c:pt>
                <c:pt idx="15">
                  <c:v>66.755114668549382</c:v>
                </c:pt>
                <c:pt idx="18">
                  <c:v>66.334951085013174</c:v>
                </c:pt>
                <c:pt idx="21">
                  <c:v>62.109890037643325</c:v>
                </c:pt>
                <c:pt idx="24">
                  <c:v>62.046658689386724</c:v>
                </c:pt>
                <c:pt idx="27">
                  <c:v>63.492123231756267</c:v>
                </c:pt>
                <c:pt idx="30">
                  <c:v>63.044051696738464</c:v>
                </c:pt>
                <c:pt idx="33">
                  <c:v>61.37364484805822</c:v>
                </c:pt>
                <c:pt idx="36">
                  <c:v>63.40025590968466</c:v>
                </c:pt>
                <c:pt idx="39">
                  <c:v>61.80253526034415</c:v>
                </c:pt>
                <c:pt idx="42">
                  <c:v>69.536184063335085</c:v>
                </c:pt>
                <c:pt idx="45">
                  <c:v>61.012644450026862</c:v>
                </c:pt>
                <c:pt idx="48">
                  <c:v>63.887278008686579</c:v>
                </c:pt>
                <c:pt idx="51">
                  <c:v>65.022379384343282</c:v>
                </c:pt>
                <c:pt idx="54">
                  <c:v>65.223895405236306</c:v>
                </c:pt>
                <c:pt idx="57">
                  <c:v>64.372973087775478</c:v>
                </c:pt>
                <c:pt idx="60">
                  <c:v>61.120017665603228</c:v>
                </c:pt>
                <c:pt idx="63">
                  <c:v>63.683152503127722</c:v>
                </c:pt>
                <c:pt idx="66">
                  <c:v>58.848022542553331</c:v>
                </c:pt>
                <c:pt idx="69">
                  <c:v>63.058103153651828</c:v>
                </c:pt>
                <c:pt idx="72">
                  <c:v>63.063955446346334</c:v>
                </c:pt>
                <c:pt idx="75">
                  <c:v>61.372042795146115</c:v>
                </c:pt>
                <c:pt idx="78">
                  <c:v>61.743364955529515</c:v>
                </c:pt>
                <c:pt idx="81">
                  <c:v>-29.418188051933907</c:v>
                </c:pt>
                <c:pt idx="84">
                  <c:v>66.40438983549349</c:v>
                </c:pt>
                <c:pt idx="87">
                  <c:v>64.043908754124544</c:v>
                </c:pt>
                <c:pt idx="90">
                  <c:v>63.731642433265534</c:v>
                </c:pt>
                <c:pt idx="93">
                  <c:v>64.267815240326556</c:v>
                </c:pt>
                <c:pt idx="96">
                  <c:v>69.656893162624343</c:v>
                </c:pt>
                <c:pt idx="99">
                  <c:v>68.533714459500118</c:v>
                </c:pt>
                <c:pt idx="102">
                  <c:v>67.085478685132244</c:v>
                </c:pt>
                <c:pt idx="105">
                  <c:v>68.849122634375306</c:v>
                </c:pt>
                <c:pt idx="108">
                  <c:v>64.329051666715273</c:v>
                </c:pt>
                <c:pt idx="111">
                  <c:v>67.749813981861749</c:v>
                </c:pt>
                <c:pt idx="114">
                  <c:v>69.93067479301871</c:v>
                </c:pt>
                <c:pt idx="117">
                  <c:v>67.886041210350669</c:v>
                </c:pt>
                <c:pt idx="120">
                  <c:v>68.309905493995359</c:v>
                </c:pt>
                <c:pt idx="123">
                  <c:v>70.510020105841022</c:v>
                </c:pt>
                <c:pt idx="126">
                  <c:v>69.150181967254284</c:v>
                </c:pt>
                <c:pt idx="129">
                  <c:v>76.598931965320418</c:v>
                </c:pt>
                <c:pt idx="132">
                  <c:v>73.847663549674451</c:v>
                </c:pt>
                <c:pt idx="135">
                  <c:v>72.704736869591329</c:v>
                </c:pt>
                <c:pt idx="138">
                  <c:v>72.653907944262016</c:v>
                </c:pt>
                <c:pt idx="141">
                  <c:v>80.138447103953155</c:v>
                </c:pt>
                <c:pt idx="144">
                  <c:v>79.095467747941314</c:v>
                </c:pt>
                <c:pt idx="147">
                  <c:v>75.761184614279017</c:v>
                </c:pt>
                <c:pt idx="150">
                  <c:v>77.984187857370074</c:v>
                </c:pt>
                <c:pt idx="153">
                  <c:v>75.71005840733946</c:v>
                </c:pt>
                <c:pt idx="156">
                  <c:v>75.740245045987209</c:v>
                </c:pt>
                <c:pt idx="159">
                  <c:v>74.353630251515028</c:v>
                </c:pt>
                <c:pt idx="162">
                  <c:v>77.490895589420106</c:v>
                </c:pt>
                <c:pt idx="165">
                  <c:v>74.299976601945673</c:v>
                </c:pt>
                <c:pt idx="168">
                  <c:v>72.374714434687718</c:v>
                </c:pt>
                <c:pt idx="171">
                  <c:v>76.262189002162387</c:v>
                </c:pt>
                <c:pt idx="174">
                  <c:v>74.976508096650264</c:v>
                </c:pt>
                <c:pt idx="177">
                  <c:v>72.865987313842282</c:v>
                </c:pt>
                <c:pt idx="180">
                  <c:v>72.879563561471713</c:v>
                </c:pt>
                <c:pt idx="183">
                  <c:v>73.868691190213781</c:v>
                </c:pt>
                <c:pt idx="186">
                  <c:v>70.32342872045129</c:v>
                </c:pt>
                <c:pt idx="189">
                  <c:v>78.45598222963244</c:v>
                </c:pt>
                <c:pt idx="192">
                  <c:v>79.351320305304682</c:v>
                </c:pt>
                <c:pt idx="195">
                  <c:v>81.796468070909896</c:v>
                </c:pt>
                <c:pt idx="198">
                  <c:v>74.12280991502098</c:v>
                </c:pt>
                <c:pt idx="201">
                  <c:v>54.198545440769834</c:v>
                </c:pt>
                <c:pt idx="204">
                  <c:v>78.446834657240515</c:v>
                </c:pt>
                <c:pt idx="207">
                  <c:v>78.336638858523344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E6-446B-8BC5-0AC587453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94367"/>
        <c:axId val="803510591"/>
      </c:scatterChart>
      <c:valAx>
        <c:axId val="803494367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Tiempo (días)</a:t>
                </a:r>
                <a:endParaRPr lang="es-MX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03510591"/>
        <c:crosses val="autoZero"/>
        <c:crossBetween val="midCat"/>
        <c:majorUnit val="4"/>
      </c:valAx>
      <c:valAx>
        <c:axId val="803510591"/>
        <c:scaling>
          <c:orientation val="minMax"/>
          <c:max val="8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Contenido de Sólidos Volátiles (g/L)</a:t>
                </a:r>
                <a:endParaRPr lang="es-MX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03494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</c:legendEntry>
      <c:layout>
        <c:manualLayout>
          <c:xMode val="edge"/>
          <c:yMode val="edge"/>
          <c:x val="0.16691319248301029"/>
          <c:y val="0.16699125164641301"/>
          <c:w val="0.11921810018854934"/>
          <c:h val="7.60332758018098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CONDUCTIVIDAD ELÉCTRICA</a:t>
            </a: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Corrida 1</a:t>
            </a: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093044619422573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281714785651793"/>
          <c:y val="0.29185185185185192"/>
          <c:w val="0.8578495188101487"/>
          <c:h val="0.50257728200641583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CONDUCTIVIDAD ELÉCT (2'!$B$5:$B$50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</c:numCache>
            </c:numRef>
          </c:xVal>
          <c:yVal>
            <c:numRef>
              <c:f>'GRÁFICA CONDUCTIVIDAD ELÉCT (2'!$E$5:$E$49</c:f>
              <c:numCache>
                <c:formatCode>General</c:formatCode>
                <c:ptCount val="4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6C-4311-8D13-67CE4FE93262}"/>
            </c:ext>
          </c:extLst>
        </c:ser>
        <c:ser>
          <c:idx val="1"/>
          <c:order val="1"/>
          <c:tx>
            <c:v>Reactor 2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CONDUCTIVIDAD ELÉCT (2'!$B$5:$B$49</c:f>
              <c:numCache>
                <c:formatCode>General</c:formatCode>
                <c:ptCount val="4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</c:numCache>
            </c:numRef>
          </c:xVal>
          <c:yVal>
            <c:numRef>
              <c:f>'GRÁFICA CONDUCTIVIDAD ELÉCT (2'!$I$5:$I$49</c:f>
              <c:numCache>
                <c:formatCode>General</c:formatCode>
                <c:ptCount val="45"/>
                <c:pt idx="0">
                  <c:v>4.1325000000000003</c:v>
                </c:pt>
                <c:pt idx="1">
                  <c:v>5.7625000000000002</c:v>
                </c:pt>
                <c:pt idx="2">
                  <c:v>8.01</c:v>
                </c:pt>
                <c:pt idx="3">
                  <c:v>8.370000000000001</c:v>
                </c:pt>
                <c:pt idx="4">
                  <c:v>8.5775000000000006</c:v>
                </c:pt>
                <c:pt idx="5">
                  <c:v>8.7274999999999991</c:v>
                </c:pt>
                <c:pt idx="6">
                  <c:v>8.82</c:v>
                </c:pt>
                <c:pt idx="7">
                  <c:v>8.57</c:v>
                </c:pt>
                <c:pt idx="8">
                  <c:v>8.6449999999999996</c:v>
                </c:pt>
                <c:pt idx="9">
                  <c:v>8.91</c:v>
                </c:pt>
                <c:pt idx="10">
                  <c:v>8.76</c:v>
                </c:pt>
                <c:pt idx="11">
                  <c:v>8.8625000000000007</c:v>
                </c:pt>
                <c:pt idx="12">
                  <c:v>9.120000000000001</c:v>
                </c:pt>
                <c:pt idx="13">
                  <c:v>9.0175000000000001</c:v>
                </c:pt>
                <c:pt idx="14">
                  <c:v>8.8374999999999986</c:v>
                </c:pt>
                <c:pt idx="15">
                  <c:v>9.39</c:v>
                </c:pt>
                <c:pt idx="16">
                  <c:v>9.4974999999999987</c:v>
                </c:pt>
                <c:pt idx="17">
                  <c:v>9.4749999999999996</c:v>
                </c:pt>
                <c:pt idx="18">
                  <c:v>9.61</c:v>
                </c:pt>
                <c:pt idx="19">
                  <c:v>9.3825000000000003</c:v>
                </c:pt>
                <c:pt idx="20">
                  <c:v>9.4824999999999999</c:v>
                </c:pt>
                <c:pt idx="21">
                  <c:v>9.51</c:v>
                </c:pt>
                <c:pt idx="22">
                  <c:v>9.3150000000000013</c:v>
                </c:pt>
                <c:pt idx="23">
                  <c:v>9.5025000000000013</c:v>
                </c:pt>
                <c:pt idx="24">
                  <c:v>9.7475000000000005</c:v>
                </c:pt>
                <c:pt idx="25">
                  <c:v>9.6375000000000011</c:v>
                </c:pt>
                <c:pt idx="26">
                  <c:v>9.7074999999999996</c:v>
                </c:pt>
                <c:pt idx="27">
                  <c:v>9.4675000000000011</c:v>
                </c:pt>
                <c:pt idx="28">
                  <c:v>9.5075000000000003</c:v>
                </c:pt>
                <c:pt idx="29">
                  <c:v>9.4124999999999996</c:v>
                </c:pt>
                <c:pt idx="30">
                  <c:v>9.2774999999999999</c:v>
                </c:pt>
                <c:pt idx="31">
                  <c:v>9.83</c:v>
                </c:pt>
                <c:pt idx="32">
                  <c:v>9.7750000000000004</c:v>
                </c:pt>
                <c:pt idx="33">
                  <c:v>10.022500000000001</c:v>
                </c:pt>
                <c:pt idx="34">
                  <c:v>10.0625</c:v>
                </c:pt>
                <c:pt idx="35">
                  <c:v>9.9350000000000005</c:v>
                </c:pt>
                <c:pt idx="36">
                  <c:v>9.9674999999999994</c:v>
                </c:pt>
                <c:pt idx="37">
                  <c:v>9.807500000000001</c:v>
                </c:pt>
                <c:pt idx="38">
                  <c:v>9.4250000000000007</c:v>
                </c:pt>
                <c:pt idx="39">
                  <c:v>10.004999999999999</c:v>
                </c:pt>
                <c:pt idx="40">
                  <c:v>10.0175</c:v>
                </c:pt>
                <c:pt idx="41">
                  <c:v>10.037500000000001</c:v>
                </c:pt>
                <c:pt idx="42">
                  <c:v>10.07</c:v>
                </c:pt>
                <c:pt idx="43">
                  <c:v>10.1975</c:v>
                </c:pt>
                <c:pt idx="44">
                  <c:v>10.1525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6C-4311-8D13-67CE4FE93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555664"/>
        <c:axId val="1755564816"/>
      </c:scatterChart>
      <c:valAx>
        <c:axId val="1755555664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5564816"/>
        <c:crosses val="autoZero"/>
        <c:crossBetween val="midCat"/>
        <c:majorUnit val="10"/>
      </c:valAx>
      <c:valAx>
        <c:axId val="1755564816"/>
        <c:scaling>
          <c:orientation val="minMax"/>
          <c:max val="13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mS/cm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55556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567298342581832"/>
          <c:y val="9.7311512531521774E-2"/>
          <c:w val="0.25199665153276452"/>
          <c:h val="0.10530286655344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Hoja1!$F$1</c:f>
              <c:strCache>
                <c:ptCount val="1"/>
                <c:pt idx="0">
                  <c:v>Reactor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Hoja1!$E$2:$E$161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Hoja1!$F$2:$F$161</c:f>
              <c:numCache>
                <c:formatCode>General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2</c:v>
                </c:pt>
                <c:pt idx="21">
                  <c:v>2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4.8</c:v>
                </c:pt>
                <c:pt idx="25">
                  <c:v>4.8</c:v>
                </c:pt>
                <c:pt idx="26">
                  <c:v>4.9000000000000004</c:v>
                </c:pt>
                <c:pt idx="27">
                  <c:v>4.9000000000000004</c:v>
                </c:pt>
                <c:pt idx="28">
                  <c:v>4.9000000000000004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3.6</c:v>
                </c:pt>
                <c:pt idx="33">
                  <c:v>3.6</c:v>
                </c:pt>
                <c:pt idx="34">
                  <c:v>4.8</c:v>
                </c:pt>
                <c:pt idx="35">
                  <c:v>4.8</c:v>
                </c:pt>
                <c:pt idx="36">
                  <c:v>6.1</c:v>
                </c:pt>
                <c:pt idx="37">
                  <c:v>6.1</c:v>
                </c:pt>
                <c:pt idx="38">
                  <c:v>6.1</c:v>
                </c:pt>
                <c:pt idx="39">
                  <c:v>6.3</c:v>
                </c:pt>
                <c:pt idx="40">
                  <c:v>6.3</c:v>
                </c:pt>
                <c:pt idx="41">
                  <c:v>7.1</c:v>
                </c:pt>
                <c:pt idx="42">
                  <c:v>7.1</c:v>
                </c:pt>
                <c:pt idx="43">
                  <c:v>7.6</c:v>
                </c:pt>
                <c:pt idx="44">
                  <c:v>7.6</c:v>
                </c:pt>
                <c:pt idx="45">
                  <c:v>7.5</c:v>
                </c:pt>
                <c:pt idx="46">
                  <c:v>7.5</c:v>
                </c:pt>
                <c:pt idx="47">
                  <c:v>7.5</c:v>
                </c:pt>
                <c:pt idx="48">
                  <c:v>8.6</c:v>
                </c:pt>
                <c:pt idx="49">
                  <c:v>8.6</c:v>
                </c:pt>
                <c:pt idx="50">
                  <c:v>8</c:v>
                </c:pt>
                <c:pt idx="51">
                  <c:v>8</c:v>
                </c:pt>
                <c:pt idx="52">
                  <c:v>9.1</c:v>
                </c:pt>
                <c:pt idx="53">
                  <c:v>9.1</c:v>
                </c:pt>
                <c:pt idx="54">
                  <c:v>9.1</c:v>
                </c:pt>
                <c:pt idx="55">
                  <c:v>7.3</c:v>
                </c:pt>
                <c:pt idx="56">
                  <c:v>7.3</c:v>
                </c:pt>
                <c:pt idx="57">
                  <c:v>7.1</c:v>
                </c:pt>
                <c:pt idx="58">
                  <c:v>7.1</c:v>
                </c:pt>
                <c:pt idx="59">
                  <c:v>7.1</c:v>
                </c:pt>
                <c:pt idx="60">
                  <c:v>9.1999999999999993</c:v>
                </c:pt>
                <c:pt idx="61">
                  <c:v>9.1999999999999993</c:v>
                </c:pt>
                <c:pt idx="62">
                  <c:v>9.1999999999999993</c:v>
                </c:pt>
                <c:pt idx="63">
                  <c:v>9.1999999999999993</c:v>
                </c:pt>
                <c:pt idx="64">
                  <c:v>9.6</c:v>
                </c:pt>
                <c:pt idx="65">
                  <c:v>9.6</c:v>
                </c:pt>
                <c:pt idx="66">
                  <c:v>10.3</c:v>
                </c:pt>
                <c:pt idx="67">
                  <c:v>10.3</c:v>
                </c:pt>
                <c:pt idx="68">
                  <c:v>10.3</c:v>
                </c:pt>
                <c:pt idx="69">
                  <c:v>10.199999999999999</c:v>
                </c:pt>
                <c:pt idx="70">
                  <c:v>10.199999999999999</c:v>
                </c:pt>
                <c:pt idx="71">
                  <c:v>10</c:v>
                </c:pt>
                <c:pt idx="72">
                  <c:v>10</c:v>
                </c:pt>
                <c:pt idx="73">
                  <c:v>9.9</c:v>
                </c:pt>
                <c:pt idx="74">
                  <c:v>9.9</c:v>
                </c:pt>
                <c:pt idx="75">
                  <c:v>9.9</c:v>
                </c:pt>
                <c:pt idx="76">
                  <c:v>11.9</c:v>
                </c:pt>
                <c:pt idx="77">
                  <c:v>11.9</c:v>
                </c:pt>
                <c:pt idx="78">
                  <c:v>11.4</c:v>
                </c:pt>
                <c:pt idx="79">
                  <c:v>11.4</c:v>
                </c:pt>
                <c:pt idx="80">
                  <c:v>10.7</c:v>
                </c:pt>
                <c:pt idx="81">
                  <c:v>10.7</c:v>
                </c:pt>
                <c:pt idx="82">
                  <c:v>10.7</c:v>
                </c:pt>
                <c:pt idx="83">
                  <c:v>6.9</c:v>
                </c:pt>
                <c:pt idx="84">
                  <c:v>6.9</c:v>
                </c:pt>
                <c:pt idx="85">
                  <c:v>6.6</c:v>
                </c:pt>
                <c:pt idx="86">
                  <c:v>6.6</c:v>
                </c:pt>
                <c:pt idx="87">
                  <c:v>6.6</c:v>
                </c:pt>
                <c:pt idx="88">
                  <c:v>9.6</c:v>
                </c:pt>
                <c:pt idx="89">
                  <c:v>9.6</c:v>
                </c:pt>
                <c:pt idx="90">
                  <c:v>2.1</c:v>
                </c:pt>
                <c:pt idx="91">
                  <c:v>2.1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1.6</c:v>
                </c:pt>
                <c:pt idx="96">
                  <c:v>1.6</c:v>
                </c:pt>
                <c:pt idx="97">
                  <c:v>0.9</c:v>
                </c:pt>
                <c:pt idx="98">
                  <c:v>0.9</c:v>
                </c:pt>
                <c:pt idx="99">
                  <c:v>1.4</c:v>
                </c:pt>
                <c:pt idx="100">
                  <c:v>1.4</c:v>
                </c:pt>
                <c:pt idx="101">
                  <c:v>8.4</c:v>
                </c:pt>
                <c:pt idx="102">
                  <c:v>8.4</c:v>
                </c:pt>
                <c:pt idx="103">
                  <c:v>8.3000000000000007</c:v>
                </c:pt>
                <c:pt idx="104">
                  <c:v>8.3000000000000007</c:v>
                </c:pt>
                <c:pt idx="105">
                  <c:v>7.7</c:v>
                </c:pt>
                <c:pt idx="106">
                  <c:v>7.7</c:v>
                </c:pt>
                <c:pt idx="107">
                  <c:v>7.7</c:v>
                </c:pt>
                <c:pt idx="108">
                  <c:v>7.1</c:v>
                </c:pt>
                <c:pt idx="109">
                  <c:v>7.1</c:v>
                </c:pt>
                <c:pt idx="110">
                  <c:v>7.1</c:v>
                </c:pt>
                <c:pt idx="111">
                  <c:v>7.1</c:v>
                </c:pt>
                <c:pt idx="112">
                  <c:v>7.1</c:v>
                </c:pt>
                <c:pt idx="113">
                  <c:v>7.1</c:v>
                </c:pt>
                <c:pt idx="114">
                  <c:v>6.1</c:v>
                </c:pt>
                <c:pt idx="115">
                  <c:v>6.1</c:v>
                </c:pt>
                <c:pt idx="116">
                  <c:v>6.5</c:v>
                </c:pt>
                <c:pt idx="117">
                  <c:v>6.5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5.8</c:v>
                </c:pt>
                <c:pt idx="124">
                  <c:v>5.8</c:v>
                </c:pt>
                <c:pt idx="125">
                  <c:v>6</c:v>
                </c:pt>
                <c:pt idx="126">
                  <c:v>6</c:v>
                </c:pt>
                <c:pt idx="127">
                  <c:v>3.1</c:v>
                </c:pt>
                <c:pt idx="128">
                  <c:v>3.1</c:v>
                </c:pt>
                <c:pt idx="129">
                  <c:v>3.1</c:v>
                </c:pt>
                <c:pt idx="130">
                  <c:v>8.4</c:v>
                </c:pt>
                <c:pt idx="131">
                  <c:v>8.4</c:v>
                </c:pt>
                <c:pt idx="132">
                  <c:v>8.8000000000000007</c:v>
                </c:pt>
                <c:pt idx="133">
                  <c:v>8.8000000000000007</c:v>
                </c:pt>
                <c:pt idx="134">
                  <c:v>8.1999999999999993</c:v>
                </c:pt>
                <c:pt idx="135">
                  <c:v>8.1999999999999993</c:v>
                </c:pt>
                <c:pt idx="136">
                  <c:v>8.1999999999999993</c:v>
                </c:pt>
                <c:pt idx="137">
                  <c:v>7.9</c:v>
                </c:pt>
                <c:pt idx="138">
                  <c:v>7.9</c:v>
                </c:pt>
                <c:pt idx="139">
                  <c:v>8</c:v>
                </c:pt>
                <c:pt idx="140">
                  <c:v>8</c:v>
                </c:pt>
                <c:pt idx="141">
                  <c:v>6.5</c:v>
                </c:pt>
                <c:pt idx="142">
                  <c:v>6.5</c:v>
                </c:pt>
                <c:pt idx="143">
                  <c:v>6.5</c:v>
                </c:pt>
                <c:pt idx="144">
                  <c:v>5.9</c:v>
                </c:pt>
                <c:pt idx="145">
                  <c:v>5.9</c:v>
                </c:pt>
                <c:pt idx="146">
                  <c:v>4</c:v>
                </c:pt>
                <c:pt idx="147">
                  <c:v>4</c:v>
                </c:pt>
                <c:pt idx="148">
                  <c:v>2.2000000000000002</c:v>
                </c:pt>
                <c:pt idx="149">
                  <c:v>2.2000000000000002</c:v>
                </c:pt>
                <c:pt idx="150">
                  <c:v>2.2000000000000002</c:v>
                </c:pt>
                <c:pt idx="151">
                  <c:v>0.4</c:v>
                </c:pt>
                <c:pt idx="152">
                  <c:v>0.4</c:v>
                </c:pt>
                <c:pt idx="153">
                  <c:v>0.4</c:v>
                </c:pt>
                <c:pt idx="154">
                  <c:v>0.4</c:v>
                </c:pt>
                <c:pt idx="155">
                  <c:v>0.8</c:v>
                </c:pt>
                <c:pt idx="156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2B-4E32-B0B0-1FAF4887D200}"/>
            </c:ext>
          </c:extLst>
        </c:ser>
        <c:ser>
          <c:idx val="1"/>
          <c:order val="1"/>
          <c:tx>
            <c:strRef>
              <c:f>Hoja1!$G$1</c:f>
              <c:strCache>
                <c:ptCount val="1"/>
                <c:pt idx="0">
                  <c:v>Reactor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Hoja1!$E$2:$E$161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Hoja1!$G$2:$G$161</c:f>
              <c:numCache>
                <c:formatCode>General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5</c:v>
                </c:pt>
                <c:pt idx="35">
                  <c:v>5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7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7</c:v>
                </c:pt>
                <c:pt idx="56">
                  <c:v>7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9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9</c:v>
                </c:pt>
                <c:pt idx="77">
                  <c:v>9</c:v>
                </c:pt>
                <c:pt idx="78">
                  <c:v>11</c:v>
                </c:pt>
                <c:pt idx="79">
                  <c:v>11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7</c:v>
                </c:pt>
                <c:pt idx="84">
                  <c:v>7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9</c:v>
                </c:pt>
                <c:pt idx="89">
                  <c:v>9</c:v>
                </c:pt>
                <c:pt idx="90">
                  <c:v>2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1.5</c:v>
                </c:pt>
                <c:pt idx="96">
                  <c:v>1.5</c:v>
                </c:pt>
                <c:pt idx="97">
                  <c:v>0.7</c:v>
                </c:pt>
                <c:pt idx="98">
                  <c:v>0.7</c:v>
                </c:pt>
                <c:pt idx="99">
                  <c:v>1.4</c:v>
                </c:pt>
                <c:pt idx="100">
                  <c:v>1.4</c:v>
                </c:pt>
                <c:pt idx="101">
                  <c:v>9.8000000000000007</c:v>
                </c:pt>
                <c:pt idx="102">
                  <c:v>9.8000000000000007</c:v>
                </c:pt>
                <c:pt idx="103">
                  <c:v>9.1999999999999993</c:v>
                </c:pt>
                <c:pt idx="104">
                  <c:v>9.1</c:v>
                </c:pt>
                <c:pt idx="105">
                  <c:v>8.6</c:v>
                </c:pt>
                <c:pt idx="106">
                  <c:v>8.6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8.8000000000000007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8.3000000000000007</c:v>
                </c:pt>
                <c:pt idx="117">
                  <c:v>8.3000000000000007</c:v>
                </c:pt>
                <c:pt idx="118">
                  <c:v>6.8</c:v>
                </c:pt>
                <c:pt idx="119">
                  <c:v>6.8</c:v>
                </c:pt>
                <c:pt idx="120">
                  <c:v>6.2</c:v>
                </c:pt>
                <c:pt idx="121">
                  <c:v>6.2</c:v>
                </c:pt>
                <c:pt idx="122">
                  <c:v>6.2</c:v>
                </c:pt>
                <c:pt idx="123">
                  <c:v>6.6</c:v>
                </c:pt>
                <c:pt idx="124">
                  <c:v>6.6</c:v>
                </c:pt>
                <c:pt idx="125">
                  <c:v>5.5</c:v>
                </c:pt>
                <c:pt idx="126">
                  <c:v>5.5</c:v>
                </c:pt>
                <c:pt idx="127">
                  <c:v>6.2</c:v>
                </c:pt>
                <c:pt idx="128">
                  <c:v>6.2</c:v>
                </c:pt>
                <c:pt idx="129">
                  <c:v>6.2</c:v>
                </c:pt>
                <c:pt idx="130">
                  <c:v>9.3000000000000007</c:v>
                </c:pt>
                <c:pt idx="131">
                  <c:v>9.3000000000000007</c:v>
                </c:pt>
                <c:pt idx="132">
                  <c:v>8.4</c:v>
                </c:pt>
                <c:pt idx="133">
                  <c:v>8.4</c:v>
                </c:pt>
                <c:pt idx="134">
                  <c:v>8.1999999999999993</c:v>
                </c:pt>
                <c:pt idx="135">
                  <c:v>8.1999999999999993</c:v>
                </c:pt>
                <c:pt idx="136">
                  <c:v>8.1999999999999993</c:v>
                </c:pt>
                <c:pt idx="137">
                  <c:v>8</c:v>
                </c:pt>
                <c:pt idx="138">
                  <c:v>8</c:v>
                </c:pt>
                <c:pt idx="139">
                  <c:v>8</c:v>
                </c:pt>
                <c:pt idx="140">
                  <c:v>8</c:v>
                </c:pt>
                <c:pt idx="141">
                  <c:v>6.7</c:v>
                </c:pt>
                <c:pt idx="142">
                  <c:v>6.7</c:v>
                </c:pt>
                <c:pt idx="143">
                  <c:v>6.7</c:v>
                </c:pt>
                <c:pt idx="144">
                  <c:v>6</c:v>
                </c:pt>
                <c:pt idx="145">
                  <c:v>6</c:v>
                </c:pt>
                <c:pt idx="146">
                  <c:v>4.2</c:v>
                </c:pt>
                <c:pt idx="147">
                  <c:v>4.2</c:v>
                </c:pt>
                <c:pt idx="148">
                  <c:v>2.1</c:v>
                </c:pt>
                <c:pt idx="149">
                  <c:v>2.1</c:v>
                </c:pt>
                <c:pt idx="150">
                  <c:v>2.1</c:v>
                </c:pt>
                <c:pt idx="151">
                  <c:v>0.6</c:v>
                </c:pt>
                <c:pt idx="152">
                  <c:v>0.6</c:v>
                </c:pt>
                <c:pt idx="153">
                  <c:v>0.6</c:v>
                </c:pt>
                <c:pt idx="154">
                  <c:v>0.6</c:v>
                </c:pt>
                <c:pt idx="155">
                  <c:v>0.6</c:v>
                </c:pt>
                <c:pt idx="156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2B-4E32-B0B0-1FAF4887D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719983"/>
        <c:axId val="2031722063"/>
      </c:scatterChart>
      <c:valAx>
        <c:axId val="2031719983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</a:t>
                </a:r>
                <a:r>
                  <a:rPr lang="en-US" baseline="0"/>
                  <a:t> (Días)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1722063"/>
        <c:crosses val="autoZero"/>
        <c:crossBetween val="midCat"/>
        <c:majorUnit val="8"/>
      </c:valAx>
      <c:valAx>
        <c:axId val="2031722063"/>
        <c:scaling>
          <c:orientation val="minMax"/>
          <c:max val="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biogás (L d¯¹)</a:t>
                </a:r>
                <a:endParaRPr lang="en-US" sz="1400" b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1719983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208620589537905"/>
          <c:y val="0.1601022991995362"/>
          <c:w val="0.28515583423480501"/>
          <c:h val="0.12770358020384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_tradnl" sz="1400" b="1" i="0" baseline="0">
                <a:solidFill>
                  <a:schemeClr val="tx1"/>
                </a:solidFill>
                <a:effectLst/>
              </a:rPr>
              <a:t>Producción de biogás y metano (</a:t>
            </a:r>
            <a:r>
              <a:rPr lang="es-MX" sz="1400" b="1" i="0" baseline="0">
                <a:solidFill>
                  <a:schemeClr val="tx1"/>
                </a:solidFill>
                <a:effectLst/>
              </a:rPr>
              <a:t>L d</a:t>
            </a:r>
            <a:r>
              <a:rPr lang="es-MX" sz="1400" b="1" i="0" baseline="30000">
                <a:solidFill>
                  <a:schemeClr val="tx1"/>
                </a:solidFill>
                <a:effectLst/>
              </a:rPr>
              <a:t>-1</a:t>
            </a:r>
            <a:r>
              <a:rPr lang="es-MX" sz="1400" b="1" i="0" baseline="0">
                <a:solidFill>
                  <a:schemeClr val="tx1"/>
                </a:solidFill>
                <a:effectLst/>
              </a:rPr>
              <a:t>)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</a:t>
            </a:r>
            <a:r>
              <a:rPr lang="es-ES_tradnl" sz="1400" b="1" i="0" u="none" strike="noStrike" baseline="0">
                <a:solidFill>
                  <a:schemeClr val="tx1"/>
                </a:solidFill>
                <a:effectLst/>
              </a:rPr>
              <a:t>vs </a:t>
            </a:r>
            <a:r>
              <a:rPr lang="es-ES_tradnl" sz="14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Carga organica diaria (g VS</a:t>
            </a:r>
            <a:r>
              <a:rPr lang="es-ES_tradnl" sz="1400" b="1" i="0" u="none" strike="noStrike" baseline="3000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-1</a:t>
            </a:r>
            <a:r>
              <a:rPr lang="es-ES_tradnl" sz="14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)  </a:t>
            </a:r>
            <a:endParaRPr lang="en-US" sz="1400" b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_tradnl" sz="14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143219538867335"/>
          <c:y val="2.186588670302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1544144317916103E-2"/>
          <c:y val="8.3430811571036989E-2"/>
          <c:w val="0.89798531834992956"/>
          <c:h val="0.8462910807498587"/>
        </c:manualLayout>
      </c:layout>
      <c:scatterChart>
        <c:scatterStyle val="smoothMarker"/>
        <c:varyColors val="0"/>
        <c:ser>
          <c:idx val="0"/>
          <c:order val="0"/>
          <c:tx>
            <c:v>Producción de biogás (L d¯¹)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Hoja1!$E$2:$E$158</c:f>
              <c:numCache>
                <c:formatCode>General</c:formatCode>
                <c:ptCount val="1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</c:numCache>
            </c:numRef>
          </c:xVal>
          <c:yVal>
            <c:numRef>
              <c:f>Hoja1!$H$2:$H$158</c:f>
              <c:numCache>
                <c:formatCode>General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0.5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3</c:v>
                </c:pt>
                <c:pt idx="21">
                  <c:v>3</c:v>
                </c:pt>
                <c:pt idx="22">
                  <c:v>2.15</c:v>
                </c:pt>
                <c:pt idx="23">
                  <c:v>2.15</c:v>
                </c:pt>
                <c:pt idx="24">
                  <c:v>4.9000000000000004</c:v>
                </c:pt>
                <c:pt idx="25">
                  <c:v>4.9000000000000004</c:v>
                </c:pt>
                <c:pt idx="26">
                  <c:v>4.95</c:v>
                </c:pt>
                <c:pt idx="27">
                  <c:v>4.45</c:v>
                </c:pt>
                <c:pt idx="28">
                  <c:v>4.45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  <c:pt idx="32">
                  <c:v>3.8</c:v>
                </c:pt>
                <c:pt idx="33">
                  <c:v>3.8</c:v>
                </c:pt>
                <c:pt idx="34">
                  <c:v>4.9000000000000004</c:v>
                </c:pt>
                <c:pt idx="35">
                  <c:v>4.9000000000000004</c:v>
                </c:pt>
                <c:pt idx="36">
                  <c:v>6.05</c:v>
                </c:pt>
                <c:pt idx="37">
                  <c:v>6.05</c:v>
                </c:pt>
                <c:pt idx="38">
                  <c:v>6.05</c:v>
                </c:pt>
                <c:pt idx="39">
                  <c:v>6.15</c:v>
                </c:pt>
                <c:pt idx="40">
                  <c:v>6.15</c:v>
                </c:pt>
                <c:pt idx="41">
                  <c:v>7.05</c:v>
                </c:pt>
                <c:pt idx="42">
                  <c:v>7.05</c:v>
                </c:pt>
                <c:pt idx="43">
                  <c:v>7.8</c:v>
                </c:pt>
                <c:pt idx="44">
                  <c:v>7.8</c:v>
                </c:pt>
                <c:pt idx="45">
                  <c:v>7.75</c:v>
                </c:pt>
                <c:pt idx="46">
                  <c:v>7.75</c:v>
                </c:pt>
                <c:pt idx="47">
                  <c:v>7.75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</c:v>
                </c:pt>
                <c:pt idx="51">
                  <c:v>8</c:v>
                </c:pt>
                <c:pt idx="52">
                  <c:v>8.5500000000000007</c:v>
                </c:pt>
                <c:pt idx="53">
                  <c:v>8.5500000000000007</c:v>
                </c:pt>
                <c:pt idx="54">
                  <c:v>8.5500000000000007</c:v>
                </c:pt>
                <c:pt idx="55">
                  <c:v>7.15</c:v>
                </c:pt>
                <c:pt idx="56">
                  <c:v>7.15</c:v>
                </c:pt>
                <c:pt idx="57">
                  <c:v>6.55</c:v>
                </c:pt>
                <c:pt idx="58">
                  <c:v>6.55</c:v>
                </c:pt>
                <c:pt idx="59">
                  <c:v>6.55</c:v>
                </c:pt>
                <c:pt idx="60">
                  <c:v>9.1</c:v>
                </c:pt>
                <c:pt idx="61">
                  <c:v>9.1</c:v>
                </c:pt>
                <c:pt idx="62">
                  <c:v>8.6</c:v>
                </c:pt>
                <c:pt idx="63">
                  <c:v>8.6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9.65</c:v>
                </c:pt>
                <c:pt idx="67">
                  <c:v>9.65</c:v>
                </c:pt>
                <c:pt idx="68">
                  <c:v>9.65</c:v>
                </c:pt>
                <c:pt idx="69">
                  <c:v>9.6</c:v>
                </c:pt>
                <c:pt idx="70">
                  <c:v>9.6</c:v>
                </c:pt>
                <c:pt idx="71">
                  <c:v>9.5</c:v>
                </c:pt>
                <c:pt idx="72">
                  <c:v>9.5</c:v>
                </c:pt>
                <c:pt idx="73">
                  <c:v>8.9499999999999993</c:v>
                </c:pt>
                <c:pt idx="74">
                  <c:v>8.9499999999999993</c:v>
                </c:pt>
                <c:pt idx="75">
                  <c:v>8.9499999999999993</c:v>
                </c:pt>
                <c:pt idx="76">
                  <c:v>10.45</c:v>
                </c:pt>
                <c:pt idx="77">
                  <c:v>10.45</c:v>
                </c:pt>
                <c:pt idx="78">
                  <c:v>11.2</c:v>
                </c:pt>
                <c:pt idx="79">
                  <c:v>11.2</c:v>
                </c:pt>
                <c:pt idx="80">
                  <c:v>10.35</c:v>
                </c:pt>
                <c:pt idx="81">
                  <c:v>10.35</c:v>
                </c:pt>
                <c:pt idx="82">
                  <c:v>10.35</c:v>
                </c:pt>
                <c:pt idx="83">
                  <c:v>6.95</c:v>
                </c:pt>
                <c:pt idx="84">
                  <c:v>6.95</c:v>
                </c:pt>
                <c:pt idx="85">
                  <c:v>6.3</c:v>
                </c:pt>
                <c:pt idx="86">
                  <c:v>6.3</c:v>
                </c:pt>
                <c:pt idx="87">
                  <c:v>6.3</c:v>
                </c:pt>
                <c:pt idx="88">
                  <c:v>9.3000000000000007</c:v>
                </c:pt>
                <c:pt idx="89">
                  <c:v>9.3000000000000007</c:v>
                </c:pt>
                <c:pt idx="90">
                  <c:v>2.0499999999999998</c:v>
                </c:pt>
                <c:pt idx="91">
                  <c:v>2.0499999999999998</c:v>
                </c:pt>
                <c:pt idx="92">
                  <c:v>1.1000000000000001</c:v>
                </c:pt>
                <c:pt idx="93">
                  <c:v>1.1000000000000001</c:v>
                </c:pt>
                <c:pt idx="94">
                  <c:v>1.1000000000000001</c:v>
                </c:pt>
                <c:pt idx="95">
                  <c:v>1.55</c:v>
                </c:pt>
                <c:pt idx="96">
                  <c:v>1.55</c:v>
                </c:pt>
                <c:pt idx="97">
                  <c:v>0.8</c:v>
                </c:pt>
                <c:pt idx="98">
                  <c:v>0.8</c:v>
                </c:pt>
                <c:pt idx="99">
                  <c:v>1.4</c:v>
                </c:pt>
                <c:pt idx="100">
                  <c:v>1.4</c:v>
                </c:pt>
                <c:pt idx="101">
                  <c:v>9.1000000000000014</c:v>
                </c:pt>
                <c:pt idx="102">
                  <c:v>9.1000000000000014</c:v>
                </c:pt>
                <c:pt idx="103">
                  <c:v>8.75</c:v>
                </c:pt>
                <c:pt idx="104">
                  <c:v>8.6999999999999993</c:v>
                </c:pt>
                <c:pt idx="105">
                  <c:v>8.15</c:v>
                </c:pt>
                <c:pt idx="106">
                  <c:v>8.15</c:v>
                </c:pt>
                <c:pt idx="107">
                  <c:v>8.15</c:v>
                </c:pt>
                <c:pt idx="108">
                  <c:v>7.95</c:v>
                </c:pt>
                <c:pt idx="109">
                  <c:v>7.95</c:v>
                </c:pt>
                <c:pt idx="110">
                  <c:v>7.55</c:v>
                </c:pt>
                <c:pt idx="111">
                  <c:v>7.55</c:v>
                </c:pt>
                <c:pt idx="112">
                  <c:v>7.55</c:v>
                </c:pt>
                <c:pt idx="113">
                  <c:v>7.55</c:v>
                </c:pt>
                <c:pt idx="114">
                  <c:v>7.05</c:v>
                </c:pt>
                <c:pt idx="115">
                  <c:v>7.05</c:v>
                </c:pt>
                <c:pt idx="116">
                  <c:v>7.4</c:v>
                </c:pt>
                <c:pt idx="117">
                  <c:v>7.4</c:v>
                </c:pt>
                <c:pt idx="118">
                  <c:v>6.4</c:v>
                </c:pt>
                <c:pt idx="119">
                  <c:v>6.4</c:v>
                </c:pt>
                <c:pt idx="120">
                  <c:v>6.1</c:v>
                </c:pt>
                <c:pt idx="121">
                  <c:v>6.1</c:v>
                </c:pt>
                <c:pt idx="122">
                  <c:v>6.1</c:v>
                </c:pt>
                <c:pt idx="123">
                  <c:v>6.1999999999999993</c:v>
                </c:pt>
                <c:pt idx="124">
                  <c:v>6.1999999999999993</c:v>
                </c:pt>
                <c:pt idx="125">
                  <c:v>5.75</c:v>
                </c:pt>
                <c:pt idx="126">
                  <c:v>5.75</c:v>
                </c:pt>
                <c:pt idx="127">
                  <c:v>4.6500000000000004</c:v>
                </c:pt>
                <c:pt idx="128">
                  <c:v>4.6500000000000004</c:v>
                </c:pt>
                <c:pt idx="129">
                  <c:v>4.6500000000000004</c:v>
                </c:pt>
                <c:pt idx="130">
                  <c:v>8.8500000000000014</c:v>
                </c:pt>
                <c:pt idx="131">
                  <c:v>8.8500000000000014</c:v>
                </c:pt>
                <c:pt idx="132">
                  <c:v>8.6000000000000014</c:v>
                </c:pt>
                <c:pt idx="133">
                  <c:v>8.6000000000000014</c:v>
                </c:pt>
                <c:pt idx="134">
                  <c:v>8.1999999999999993</c:v>
                </c:pt>
                <c:pt idx="135">
                  <c:v>8.1999999999999993</c:v>
                </c:pt>
                <c:pt idx="136">
                  <c:v>8.1999999999999993</c:v>
                </c:pt>
                <c:pt idx="137">
                  <c:v>7.95</c:v>
                </c:pt>
                <c:pt idx="138">
                  <c:v>7.95</c:v>
                </c:pt>
                <c:pt idx="139">
                  <c:v>8</c:v>
                </c:pt>
                <c:pt idx="140">
                  <c:v>8</c:v>
                </c:pt>
                <c:pt idx="141">
                  <c:v>6.6</c:v>
                </c:pt>
                <c:pt idx="142">
                  <c:v>6.6</c:v>
                </c:pt>
                <c:pt idx="143">
                  <c:v>6.6</c:v>
                </c:pt>
                <c:pt idx="144">
                  <c:v>5.95</c:v>
                </c:pt>
                <c:pt idx="145">
                  <c:v>5.95</c:v>
                </c:pt>
                <c:pt idx="146">
                  <c:v>4.0999999999999996</c:v>
                </c:pt>
                <c:pt idx="147">
                  <c:v>4.0999999999999996</c:v>
                </c:pt>
                <c:pt idx="148">
                  <c:v>2.1500000000000004</c:v>
                </c:pt>
                <c:pt idx="149">
                  <c:v>2.1500000000000004</c:v>
                </c:pt>
                <c:pt idx="150">
                  <c:v>2.1500000000000004</c:v>
                </c:pt>
                <c:pt idx="151">
                  <c:v>0.5</c:v>
                </c:pt>
                <c:pt idx="152">
                  <c:v>0.5</c:v>
                </c:pt>
                <c:pt idx="153">
                  <c:v>0.5</c:v>
                </c:pt>
                <c:pt idx="154">
                  <c:v>0.5</c:v>
                </c:pt>
                <c:pt idx="155">
                  <c:v>0.7</c:v>
                </c:pt>
                <c:pt idx="156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DD-460B-9A7B-E0BEC5AE0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569760"/>
        <c:axId val="2074565600"/>
      </c:scatterChart>
      <c:scatterChart>
        <c:scatterStyle val="smoothMarker"/>
        <c:varyColors val="0"/>
        <c:ser>
          <c:idx val="2"/>
          <c:order val="1"/>
          <c:tx>
            <c:v>Producción de metano (L d¯¹) 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Hoja1!$E$2:$E$158</c:f>
              <c:numCache>
                <c:formatCode>General</c:formatCode>
                <c:ptCount val="1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</c:numCache>
            </c:numRef>
          </c:xVal>
          <c:yVal>
            <c:numRef>
              <c:f>Hoja1!$T$6:$T$162</c:f>
              <c:numCache>
                <c:formatCode>General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0.15</c:v>
                </c:pt>
                <c:pt idx="15">
                  <c:v>0.15</c:v>
                </c:pt>
                <c:pt idx="16">
                  <c:v>0.24</c:v>
                </c:pt>
                <c:pt idx="17">
                  <c:v>0.24</c:v>
                </c:pt>
                <c:pt idx="18">
                  <c:v>0.24</c:v>
                </c:pt>
                <c:pt idx="19">
                  <c:v>0.28999999999999998</c:v>
                </c:pt>
                <c:pt idx="20">
                  <c:v>0.28999999999999998</c:v>
                </c:pt>
                <c:pt idx="21">
                  <c:v>0.47</c:v>
                </c:pt>
                <c:pt idx="22">
                  <c:v>0.47</c:v>
                </c:pt>
                <c:pt idx="23">
                  <c:v>0.66</c:v>
                </c:pt>
                <c:pt idx="24">
                  <c:v>0.66</c:v>
                </c:pt>
                <c:pt idx="25">
                  <c:v>0.66</c:v>
                </c:pt>
                <c:pt idx="26">
                  <c:v>1.47</c:v>
                </c:pt>
                <c:pt idx="27">
                  <c:v>1.47</c:v>
                </c:pt>
                <c:pt idx="28">
                  <c:v>1.57</c:v>
                </c:pt>
                <c:pt idx="29">
                  <c:v>1.57</c:v>
                </c:pt>
                <c:pt idx="30">
                  <c:v>1.1299999999999999</c:v>
                </c:pt>
                <c:pt idx="31">
                  <c:v>1.1299999999999999</c:v>
                </c:pt>
                <c:pt idx="32">
                  <c:v>1.1299999999999999</c:v>
                </c:pt>
                <c:pt idx="33">
                  <c:v>1.28</c:v>
                </c:pt>
                <c:pt idx="34">
                  <c:v>1.28</c:v>
                </c:pt>
                <c:pt idx="35">
                  <c:v>1.59</c:v>
                </c:pt>
                <c:pt idx="36">
                  <c:v>1.59</c:v>
                </c:pt>
                <c:pt idx="37">
                  <c:v>1.78</c:v>
                </c:pt>
                <c:pt idx="38">
                  <c:v>1.78</c:v>
                </c:pt>
                <c:pt idx="39">
                  <c:v>1.78</c:v>
                </c:pt>
                <c:pt idx="40">
                  <c:v>2.02</c:v>
                </c:pt>
                <c:pt idx="41">
                  <c:v>2.02</c:v>
                </c:pt>
                <c:pt idx="42">
                  <c:v>2.27</c:v>
                </c:pt>
                <c:pt idx="43">
                  <c:v>2.27</c:v>
                </c:pt>
                <c:pt idx="44">
                  <c:v>2.52</c:v>
                </c:pt>
                <c:pt idx="45">
                  <c:v>2.52</c:v>
                </c:pt>
                <c:pt idx="46">
                  <c:v>2.52</c:v>
                </c:pt>
                <c:pt idx="47">
                  <c:v>2.71</c:v>
                </c:pt>
                <c:pt idx="48">
                  <c:v>2.71</c:v>
                </c:pt>
                <c:pt idx="49">
                  <c:v>2.9</c:v>
                </c:pt>
                <c:pt idx="50">
                  <c:v>2.9</c:v>
                </c:pt>
                <c:pt idx="51">
                  <c:v>3.01</c:v>
                </c:pt>
                <c:pt idx="52">
                  <c:v>3.01</c:v>
                </c:pt>
                <c:pt idx="53">
                  <c:v>3.01</c:v>
                </c:pt>
                <c:pt idx="54">
                  <c:v>2.81</c:v>
                </c:pt>
                <c:pt idx="55">
                  <c:v>2.81</c:v>
                </c:pt>
                <c:pt idx="56">
                  <c:v>2.29</c:v>
                </c:pt>
                <c:pt idx="57">
                  <c:v>2.29</c:v>
                </c:pt>
                <c:pt idx="58">
                  <c:v>2.11</c:v>
                </c:pt>
                <c:pt idx="59">
                  <c:v>2.11</c:v>
                </c:pt>
                <c:pt idx="60">
                  <c:v>2.11</c:v>
                </c:pt>
                <c:pt idx="61">
                  <c:v>2.79</c:v>
                </c:pt>
                <c:pt idx="62">
                  <c:v>2.79</c:v>
                </c:pt>
                <c:pt idx="63">
                  <c:v>3.14</c:v>
                </c:pt>
                <c:pt idx="64">
                  <c:v>3.14</c:v>
                </c:pt>
                <c:pt idx="65">
                  <c:v>3.47</c:v>
                </c:pt>
                <c:pt idx="66">
                  <c:v>3.47</c:v>
                </c:pt>
                <c:pt idx="67">
                  <c:v>3.47</c:v>
                </c:pt>
                <c:pt idx="68">
                  <c:v>3.37</c:v>
                </c:pt>
                <c:pt idx="69">
                  <c:v>3.37</c:v>
                </c:pt>
                <c:pt idx="70">
                  <c:v>3.21</c:v>
                </c:pt>
                <c:pt idx="71">
                  <c:v>3.21</c:v>
                </c:pt>
                <c:pt idx="72">
                  <c:v>3.22</c:v>
                </c:pt>
                <c:pt idx="73">
                  <c:v>3.22</c:v>
                </c:pt>
                <c:pt idx="74">
                  <c:v>3.22</c:v>
                </c:pt>
                <c:pt idx="75">
                  <c:v>3.24</c:v>
                </c:pt>
                <c:pt idx="76">
                  <c:v>3.24</c:v>
                </c:pt>
                <c:pt idx="77">
                  <c:v>3.7</c:v>
                </c:pt>
                <c:pt idx="78">
                  <c:v>3.7</c:v>
                </c:pt>
                <c:pt idx="79">
                  <c:v>3.69</c:v>
                </c:pt>
                <c:pt idx="80">
                  <c:v>3.69</c:v>
                </c:pt>
                <c:pt idx="81">
                  <c:v>3.69</c:v>
                </c:pt>
                <c:pt idx="82">
                  <c:v>3.56</c:v>
                </c:pt>
                <c:pt idx="83">
                  <c:v>3.56</c:v>
                </c:pt>
                <c:pt idx="84">
                  <c:v>2.13</c:v>
                </c:pt>
                <c:pt idx="85">
                  <c:v>2.13</c:v>
                </c:pt>
                <c:pt idx="86">
                  <c:v>1.96</c:v>
                </c:pt>
                <c:pt idx="87">
                  <c:v>1.96</c:v>
                </c:pt>
                <c:pt idx="88">
                  <c:v>1.96</c:v>
                </c:pt>
                <c:pt idx="89">
                  <c:v>3.18</c:v>
                </c:pt>
                <c:pt idx="90">
                  <c:v>3.18</c:v>
                </c:pt>
                <c:pt idx="91">
                  <c:v>1.29</c:v>
                </c:pt>
                <c:pt idx="92">
                  <c:v>1.29</c:v>
                </c:pt>
                <c:pt idx="93">
                  <c:v>0.14000000000000001</c:v>
                </c:pt>
                <c:pt idx="94">
                  <c:v>0.14000000000000001</c:v>
                </c:pt>
                <c:pt idx="95">
                  <c:v>0.14000000000000001</c:v>
                </c:pt>
                <c:pt idx="96">
                  <c:v>0.48</c:v>
                </c:pt>
                <c:pt idx="97">
                  <c:v>0.48</c:v>
                </c:pt>
                <c:pt idx="98">
                  <c:v>0.53</c:v>
                </c:pt>
                <c:pt idx="99">
                  <c:v>0.53</c:v>
                </c:pt>
                <c:pt idx="100">
                  <c:v>0.13</c:v>
                </c:pt>
                <c:pt idx="101">
                  <c:v>0.13</c:v>
                </c:pt>
                <c:pt idx="102">
                  <c:v>2.52</c:v>
                </c:pt>
                <c:pt idx="103">
                  <c:v>2.52</c:v>
                </c:pt>
                <c:pt idx="104">
                  <c:v>2.83</c:v>
                </c:pt>
                <c:pt idx="105">
                  <c:v>2.83</c:v>
                </c:pt>
                <c:pt idx="106">
                  <c:v>2.83</c:v>
                </c:pt>
                <c:pt idx="107">
                  <c:v>2.52</c:v>
                </c:pt>
                <c:pt idx="108">
                  <c:v>2.52</c:v>
                </c:pt>
                <c:pt idx="109">
                  <c:v>1.71</c:v>
                </c:pt>
                <c:pt idx="110">
                  <c:v>1.71</c:v>
                </c:pt>
                <c:pt idx="111">
                  <c:v>1.57</c:v>
                </c:pt>
                <c:pt idx="112">
                  <c:v>1.57</c:v>
                </c:pt>
                <c:pt idx="113">
                  <c:v>1.57</c:v>
                </c:pt>
                <c:pt idx="114">
                  <c:v>2.0699999999999998</c:v>
                </c:pt>
                <c:pt idx="115">
                  <c:v>2.0699999999999998</c:v>
                </c:pt>
                <c:pt idx="116">
                  <c:v>1.3</c:v>
                </c:pt>
                <c:pt idx="117">
                  <c:v>1.3</c:v>
                </c:pt>
                <c:pt idx="118">
                  <c:v>2.46</c:v>
                </c:pt>
                <c:pt idx="119">
                  <c:v>2.46</c:v>
                </c:pt>
                <c:pt idx="120">
                  <c:v>2.46</c:v>
                </c:pt>
                <c:pt idx="121">
                  <c:v>2.4700000000000002</c:v>
                </c:pt>
                <c:pt idx="122">
                  <c:v>2.4700000000000002</c:v>
                </c:pt>
                <c:pt idx="123">
                  <c:v>2.4700000000000002</c:v>
                </c:pt>
                <c:pt idx="124">
                  <c:v>1.63</c:v>
                </c:pt>
                <c:pt idx="125">
                  <c:v>1.63</c:v>
                </c:pt>
                <c:pt idx="126">
                  <c:v>0.6</c:v>
                </c:pt>
                <c:pt idx="127">
                  <c:v>0.6</c:v>
                </c:pt>
                <c:pt idx="128">
                  <c:v>0.6</c:v>
                </c:pt>
                <c:pt idx="129">
                  <c:v>0.83</c:v>
                </c:pt>
                <c:pt idx="130">
                  <c:v>0.83</c:v>
                </c:pt>
                <c:pt idx="131">
                  <c:v>2.17</c:v>
                </c:pt>
                <c:pt idx="132">
                  <c:v>2.17</c:v>
                </c:pt>
                <c:pt idx="133">
                  <c:v>2.23</c:v>
                </c:pt>
                <c:pt idx="134">
                  <c:v>2.23</c:v>
                </c:pt>
                <c:pt idx="135">
                  <c:v>2.23</c:v>
                </c:pt>
                <c:pt idx="136">
                  <c:v>1.33</c:v>
                </c:pt>
                <c:pt idx="137">
                  <c:v>1.33</c:v>
                </c:pt>
                <c:pt idx="138">
                  <c:v>2.2599999999999998</c:v>
                </c:pt>
                <c:pt idx="139">
                  <c:v>2.2599999999999998</c:v>
                </c:pt>
                <c:pt idx="140">
                  <c:v>2.34</c:v>
                </c:pt>
                <c:pt idx="141">
                  <c:v>2.34</c:v>
                </c:pt>
                <c:pt idx="142">
                  <c:v>2.34</c:v>
                </c:pt>
                <c:pt idx="143">
                  <c:v>0.52</c:v>
                </c:pt>
                <c:pt idx="144">
                  <c:v>0.52</c:v>
                </c:pt>
                <c:pt idx="145">
                  <c:v>2.92</c:v>
                </c:pt>
                <c:pt idx="146">
                  <c:v>2.92</c:v>
                </c:pt>
                <c:pt idx="147">
                  <c:v>0.14000000000000001</c:v>
                </c:pt>
                <c:pt idx="148">
                  <c:v>0.14000000000000001</c:v>
                </c:pt>
                <c:pt idx="149">
                  <c:v>0.14000000000000001</c:v>
                </c:pt>
                <c:pt idx="150">
                  <c:v>0.93</c:v>
                </c:pt>
                <c:pt idx="151">
                  <c:v>0.93</c:v>
                </c:pt>
                <c:pt idx="152">
                  <c:v>1.05</c:v>
                </c:pt>
                <c:pt idx="153">
                  <c:v>1.05</c:v>
                </c:pt>
                <c:pt idx="154">
                  <c:v>0.48</c:v>
                </c:pt>
                <c:pt idx="155">
                  <c:v>0.48</c:v>
                </c:pt>
                <c:pt idx="156">
                  <c:v>7.0000000000000007E-2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A2-4732-856C-1F28427E29BD}"/>
            </c:ext>
          </c:extLst>
        </c:ser>
        <c:ser>
          <c:idx val="1"/>
          <c:order val="2"/>
          <c:tx>
            <c:v>Carga organica diaria (g SV¯¹)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Hoja1!$E$2:$E$158</c:f>
              <c:numCache>
                <c:formatCode>General</c:formatCode>
                <c:ptCount val="1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DD-460B-9A7B-E0BEC5AE0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614912"/>
        <c:axId val="1699627616"/>
      </c:scatterChart>
      <c:valAx>
        <c:axId val="2074569760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653103041844407"/>
              <c:y val="0.96005682146222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74565600"/>
        <c:crosses val="autoZero"/>
        <c:crossBetween val="midCat"/>
        <c:majorUnit val="8"/>
      </c:valAx>
      <c:valAx>
        <c:axId val="2074565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Producción de biogás y metano (</a:t>
                </a:r>
                <a:r>
                  <a:rPr lang="es-MX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 d</a:t>
                </a:r>
                <a:r>
                  <a:rPr lang="es-MX" sz="1400" b="1" i="0" baseline="3000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s-MX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_tradnl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2581855078653009E-2"/>
              <c:y val="0.29261492015622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74569760"/>
        <c:crosses val="autoZero"/>
        <c:crossBetween val="midCat"/>
        <c:majorUnit val="1"/>
      </c:valAx>
      <c:valAx>
        <c:axId val="169962761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 sz="1400" b="1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Carga organica diaria (g VS</a:t>
                </a:r>
                <a:r>
                  <a:rPr lang="es-ES_tradnl" sz="1400" b="1" i="0" u="none" strike="noStrike" baseline="3000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s-ES_tradnl" sz="1400" b="1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) 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20614912"/>
        <c:crosses val="max"/>
        <c:crossBetween val="midCat"/>
      </c:valAx>
      <c:valAx>
        <c:axId val="192061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9627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591280495675746"/>
          <c:y val="9.0730899069370624E-2"/>
          <c:w val="0.45867735897766876"/>
          <c:h val="3.665440580855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Producción</a:t>
            </a:r>
            <a:r>
              <a:rPr lang="en-US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acumulada de biogás </a:t>
            </a:r>
            <a:r>
              <a:rPr lang="es-ES_tradnl" sz="1400" b="0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vs </a:t>
            </a:r>
            <a:r>
              <a:rPr lang="en-US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metano</a:t>
            </a:r>
            <a:endParaRPr lang="en-US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911779562953683E-2"/>
          <c:y val="8.8893584066126352E-2"/>
          <c:w val="0.89778670974277275"/>
          <c:h val="0.82841401625310263"/>
        </c:manualLayout>
      </c:layout>
      <c:scatterChart>
        <c:scatterStyle val="smoothMarker"/>
        <c:varyColors val="0"/>
        <c:ser>
          <c:idx val="0"/>
          <c:order val="0"/>
          <c:tx>
            <c:v>Producción de biogas (Kg¯¹ SV)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BIOGÁS!$B$3:$B$70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BIOGÁS!$Q$3:$Q$70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0.94562540039881982</c:v>
                </c:pt>
                <c:pt idx="7">
                  <c:v>2.2258801146978766</c:v>
                </c:pt>
                <c:pt idx="8">
                  <c:v>3.5791812361656739</c:v>
                </c:pt>
                <c:pt idx="9">
                  <c:v>9.1409322885268587</c:v>
                </c:pt>
                <c:pt idx="10">
                  <c:v>13.276745640116562</c:v>
                </c:pt>
                <c:pt idx="11">
                  <c:v>22.554760398439065</c:v>
                </c:pt>
                <c:pt idx="12">
                  <c:v>30.879155327910141</c:v>
                </c:pt>
                <c:pt idx="13">
                  <c:v>37.702895741226868</c:v>
                </c:pt>
                <c:pt idx="14">
                  <c:v>45.136176970652947</c:v>
                </c:pt>
                <c:pt idx="15">
                  <c:v>54.535506519538373</c:v>
                </c:pt>
                <c:pt idx="16">
                  <c:v>66.231922032393882</c:v>
                </c:pt>
                <c:pt idx="17">
                  <c:v>78.311235734394444</c:v>
                </c:pt>
                <c:pt idx="18">
                  <c:v>91.398416602200939</c:v>
                </c:pt>
                <c:pt idx="19">
                  <c:v>105.88011512651667</c:v>
                </c:pt>
                <c:pt idx="20">
                  <c:v>120.93841731066564</c:v>
                </c:pt>
                <c:pt idx="21">
                  <c:v>137.04696788474917</c:v>
                </c:pt>
                <c:pt idx="22">
                  <c:v>154.12983830485356</c:v>
                </c:pt>
                <c:pt idx="23">
                  <c:v>169.12371124636667</c:v>
                </c:pt>
                <c:pt idx="24">
                  <c:v>181.70082107265313</c:v>
                </c:pt>
                <c:pt idx="25">
                  <c:v>193.60608234165292</c:v>
                </c:pt>
                <c:pt idx="26">
                  <c:v>210.47415555734699</c:v>
                </c:pt>
                <c:pt idx="27">
                  <c:v>227.26093708048447</c:v>
                </c:pt>
                <c:pt idx="28">
                  <c:v>246.19228679896514</c:v>
                </c:pt>
                <c:pt idx="29">
                  <c:v>264.54746683939527</c:v>
                </c:pt>
                <c:pt idx="30">
                  <c:v>282.99359729756617</c:v>
                </c:pt>
                <c:pt idx="31">
                  <c:v>301.10366246649096</c:v>
                </c:pt>
                <c:pt idx="32">
                  <c:v>318.165250178267</c:v>
                </c:pt>
                <c:pt idx="33">
                  <c:v>338.08632186408465</c:v>
                </c:pt>
                <c:pt idx="34">
                  <c:v>359.43713553692186</c:v>
                </c:pt>
                <c:pt idx="35">
                  <c:v>379.16757495780291</c:v>
                </c:pt>
                <c:pt idx="36">
                  <c:v>392.41651737085886</c:v>
                </c:pt>
                <c:pt idx="37">
                  <c:v>404.42635006182945</c:v>
                </c:pt>
                <c:pt idx="38">
                  <c:v>421.73819359907122</c:v>
                </c:pt>
                <c:pt idx="39">
                  <c:v>427.8985616412607</c:v>
                </c:pt>
                <c:pt idx="40">
                  <c:v>428.46544533373265</c:v>
                </c:pt>
                <c:pt idx="41">
                  <c:v>431.7071596030263</c:v>
                </c:pt>
                <c:pt idx="42">
                  <c:v>434.72745205293228</c:v>
                </c:pt>
                <c:pt idx="43">
                  <c:v>434.41476614392457</c:v>
                </c:pt>
                <c:pt idx="44">
                  <c:v>451.32769914607684</c:v>
                </c:pt>
                <c:pt idx="45">
                  <c:v>468.37274107569078</c:v>
                </c:pt>
                <c:pt idx="46">
                  <c:v>483.87736268319321</c:v>
                </c:pt>
                <c:pt idx="47">
                  <c:v>497.29929741375429</c:v>
                </c:pt>
                <c:pt idx="48">
                  <c:v>511.57814151401431</c:v>
                </c:pt>
                <c:pt idx="49">
                  <c:v>525.83286365880576</c:v>
                </c:pt>
                <c:pt idx="50">
                  <c:v>536.20443133286358</c:v>
                </c:pt>
                <c:pt idx="51">
                  <c:v>553.88596086184975</c:v>
                </c:pt>
                <c:pt idx="52">
                  <c:v>571.35774688970378</c:v>
                </c:pt>
                <c:pt idx="53">
                  <c:v>583.27504892743696</c:v>
                </c:pt>
                <c:pt idx="54">
                  <c:v>588.22441730545756</c:v>
                </c:pt>
                <c:pt idx="55">
                  <c:v>597.07061245575028</c:v>
                </c:pt>
                <c:pt idx="56">
                  <c:v>612.86275296794349</c:v>
                </c:pt>
                <c:pt idx="57">
                  <c:v>630.26762436383638</c:v>
                </c:pt>
                <c:pt idx="58">
                  <c:v>641.47595131377648</c:v>
                </c:pt>
                <c:pt idx="59">
                  <c:v>658.73671706598975</c:v>
                </c:pt>
                <c:pt idx="60">
                  <c:v>676.2107669185807</c:v>
                </c:pt>
                <c:pt idx="61">
                  <c:v>681.7658098825757</c:v>
                </c:pt>
                <c:pt idx="62">
                  <c:v>702.49053607744236</c:v>
                </c:pt>
                <c:pt idx="63">
                  <c:v>705.47109633114007</c:v>
                </c:pt>
                <c:pt idx="64">
                  <c:v>711.97602903158986</c:v>
                </c:pt>
                <c:pt idx="65">
                  <c:v>705.68080998065261</c:v>
                </c:pt>
                <c:pt idx="66">
                  <c:v>709.02459714431416</c:v>
                </c:pt>
                <c:pt idx="67">
                  <c:v>710.34722797176551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2A-4867-8A70-AF1627D28B85}"/>
            </c:ext>
          </c:extLst>
        </c:ser>
        <c:ser>
          <c:idx val="1"/>
          <c:order val="1"/>
          <c:tx>
            <c:v>Producción de metano (Kg¯¹ SV)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BIOGÁS!$B$3:$B$70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BIOGÁS!$AD$3:$AD$70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0.10496441944426901</c:v>
                </c:pt>
                <c:pt idx="7">
                  <c:v>0.2555124881663618</c:v>
                </c:pt>
                <c:pt idx="8">
                  <c:v>0.42959593731977563</c:v>
                </c:pt>
                <c:pt idx="9">
                  <c:v>1.1734905012444472</c:v>
                </c:pt>
                <c:pt idx="10">
                  <c:v>1.798339905019614</c:v>
                </c:pt>
                <c:pt idx="11">
                  <c:v>3.2772821829991274</c:v>
                </c:pt>
                <c:pt idx="12">
                  <c:v>4.7386323301067996</c:v>
                </c:pt>
                <c:pt idx="13">
                  <c:v>6.0697919920472856</c:v>
                </c:pt>
                <c:pt idx="14">
                  <c:v>7.5000495482780121</c:v>
                </c:pt>
                <c:pt idx="15">
                  <c:v>9.3731129662783488</c:v>
                </c:pt>
                <c:pt idx="16">
                  <c:v>11.611746410988715</c:v>
                </c:pt>
                <c:pt idx="17">
                  <c:v>13.907875157542868</c:v>
                </c:pt>
                <c:pt idx="18">
                  <c:v>16.25414429471186</c:v>
                </c:pt>
                <c:pt idx="19">
                  <c:v>18.46731988327193</c:v>
                </c:pt>
                <c:pt idx="20">
                  <c:v>20.57316382803236</c:v>
                </c:pt>
                <c:pt idx="21">
                  <c:v>21.963975597322175</c:v>
                </c:pt>
                <c:pt idx="22">
                  <c:v>23.559689339220881</c:v>
                </c:pt>
                <c:pt idx="23">
                  <c:v>29.205622145847705</c:v>
                </c:pt>
                <c:pt idx="24">
                  <c:v>33.758084995886591</c:v>
                </c:pt>
                <c:pt idx="25">
                  <c:v>37.818224127126562</c:v>
                </c:pt>
                <c:pt idx="26">
                  <c:v>43.500188509712302</c:v>
                </c:pt>
                <c:pt idx="27">
                  <c:v>49.10799292222211</c:v>
                </c:pt>
                <c:pt idx="28">
                  <c:v>55.233201433086691</c:v>
                </c:pt>
                <c:pt idx="29">
                  <c:v>61.495330438039005</c:v>
                </c:pt>
                <c:pt idx="30">
                  <c:v>67.561218486925711</c:v>
                </c:pt>
                <c:pt idx="31">
                  <c:v>73.579479090956781</c:v>
                </c:pt>
                <c:pt idx="32">
                  <c:v>79.482073568237809</c:v>
                </c:pt>
                <c:pt idx="33">
                  <c:v>86.029195733267898</c:v>
                </c:pt>
                <c:pt idx="34">
                  <c:v>93.293714769318299</c:v>
                </c:pt>
                <c:pt idx="35">
                  <c:v>100.17010651395896</c:v>
                </c:pt>
                <c:pt idx="36">
                  <c:v>104.48945237288015</c:v>
                </c:pt>
                <c:pt idx="37">
                  <c:v>108.44812198654199</c:v>
                </c:pt>
                <c:pt idx="38">
                  <c:v>114.5563882947511</c:v>
                </c:pt>
                <c:pt idx="39">
                  <c:v>116.48567667924274</c:v>
                </c:pt>
                <c:pt idx="40">
                  <c:v>116.75645185231154</c:v>
                </c:pt>
                <c:pt idx="41">
                  <c:v>117.74676766078255</c:v>
                </c:pt>
                <c:pt idx="42">
                  <c:v>118.62806125172591</c:v>
                </c:pt>
                <c:pt idx="43">
                  <c:v>118.61163942248953</c:v>
                </c:pt>
                <c:pt idx="44">
                  <c:v>124.42153881943062</c:v>
                </c:pt>
                <c:pt idx="45">
                  <c:v>130.34711605332049</c:v>
                </c:pt>
                <c:pt idx="46">
                  <c:v>135.70933712006732</c:v>
                </c:pt>
                <c:pt idx="47">
                  <c:v>139.92059861208554</c:v>
                </c:pt>
                <c:pt idx="48">
                  <c:v>144.09974289806965</c:v>
                </c:pt>
                <c:pt idx="49">
                  <c:v>148.62295713322163</c:v>
                </c:pt>
                <c:pt idx="50">
                  <c:v>152.00731845803637</c:v>
                </c:pt>
                <c:pt idx="51">
                  <c:v>157.16473713294346</c:v>
                </c:pt>
                <c:pt idx="52">
                  <c:v>162.16536022937453</c:v>
                </c:pt>
                <c:pt idx="53">
                  <c:v>165.77880153594464</c:v>
                </c:pt>
                <c:pt idx="54">
                  <c:v>167.28535510714568</c:v>
                </c:pt>
                <c:pt idx="55">
                  <c:v>169.85370043244728</c:v>
                </c:pt>
                <c:pt idx="56">
                  <c:v>174.34992395997699</c:v>
                </c:pt>
                <c:pt idx="57">
                  <c:v>179.18667411695054</c:v>
                </c:pt>
                <c:pt idx="58">
                  <c:v>182.21747923029329</c:v>
                </c:pt>
                <c:pt idx="59">
                  <c:v>186.79636596379623</c:v>
                </c:pt>
                <c:pt idx="60">
                  <c:v>191.5944140190152</c:v>
                </c:pt>
                <c:pt idx="61">
                  <c:v>193.14865091022409</c:v>
                </c:pt>
                <c:pt idx="62">
                  <c:v>198.78487326942155</c:v>
                </c:pt>
                <c:pt idx="63">
                  <c:v>199.38820030896699</c:v>
                </c:pt>
                <c:pt idx="64">
                  <c:v>201.14231219751929</c:v>
                </c:pt>
                <c:pt idx="65">
                  <c:v>199.34677869154854</c:v>
                </c:pt>
                <c:pt idx="66">
                  <c:v>200.26576884398395</c:v>
                </c:pt>
                <c:pt idx="67">
                  <c:v>200.38726193284842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2A-4867-8A70-AF1627D28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374496"/>
        <c:axId val="1294376160"/>
      </c:scatterChart>
      <c:valAx>
        <c:axId val="1294374496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100" b="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100" b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6160"/>
        <c:crosses val="autoZero"/>
        <c:crossBetween val="midCat"/>
        <c:majorUnit val="8"/>
      </c:valAx>
      <c:valAx>
        <c:axId val="1294376160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acumulada de biogas </a:t>
                </a:r>
                <a:r>
                  <a:rPr lang="es-ES_tradnl" sz="11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vs</a:t>
                </a:r>
                <a:r>
                  <a:rPr lang="en-US" sz="11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metano (Kg¯¹ SV)</a:t>
                </a:r>
                <a:endParaRPr lang="en-US" sz="11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3754470656753881E-3"/>
              <c:y val="0.196288815802992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449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000269548660612"/>
          <c:y val="0.11751090450609845"/>
          <c:w val="0.42091072395006834"/>
          <c:h val="8.3008065354801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CALIDAD DEL BIOGÁS</a:t>
            </a:r>
            <a:endParaRPr lang="en-US" sz="12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CORRIDA 1 </a:t>
            </a:r>
            <a:endParaRPr lang="en-US" sz="12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292982659627536"/>
          <c:y val="0.12982018215383628"/>
          <c:w val="0.77895598923871523"/>
          <c:h val="0.72639682198553823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762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BIOGÁS'!$B$2:$B$35</c:f>
              <c:numCache>
                <c:formatCode>General</c:formatCode>
                <c:ptCount val="3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</c:numCache>
            </c:numRef>
          </c:xVal>
          <c:yVal>
            <c:numRef>
              <c:f>'GRÁFICA CALIDAD BIOGÁS'!$C$2:$C$35</c:f>
              <c:numCache>
                <c:formatCode>General</c:formatCode>
                <c:ptCount val="34"/>
                <c:pt idx="0">
                  <c:v>0</c:v>
                </c:pt>
                <c:pt idx="1">
                  <c:v>6.3</c:v>
                </c:pt>
                <c:pt idx="2">
                  <c:v>16.899999999999999</c:v>
                </c:pt>
                <c:pt idx="3">
                  <c:v>19.7</c:v>
                </c:pt>
                <c:pt idx="4">
                  <c:v>20.2</c:v>
                </c:pt>
                <c:pt idx="5">
                  <c:v>26.1</c:v>
                </c:pt>
                <c:pt idx="6">
                  <c:v>32.700000000000003</c:v>
                </c:pt>
                <c:pt idx="7">
                  <c:v>37.1</c:v>
                </c:pt>
                <c:pt idx="8">
                  <c:v>42.6</c:v>
                </c:pt>
                <c:pt idx="9">
                  <c:v>50.9</c:v>
                </c:pt>
                <c:pt idx="10">
                  <c:v>59.8</c:v>
                </c:pt>
                <c:pt idx="11">
                  <c:v>64.8</c:v>
                </c:pt>
                <c:pt idx="12">
                  <c:v>68.599999999999994</c:v>
                </c:pt>
                <c:pt idx="13">
                  <c:v>70.8</c:v>
                </c:pt>
                <c:pt idx="14">
                  <c:v>72.7</c:v>
                </c:pt>
                <c:pt idx="15">
                  <c:v>69.2</c:v>
                </c:pt>
                <c:pt idx="16">
                  <c:v>60.4</c:v>
                </c:pt>
                <c:pt idx="17">
                  <c:v>65.5</c:v>
                </c:pt>
                <c:pt idx="18">
                  <c:v>68.7</c:v>
                </c:pt>
                <c:pt idx="19">
                  <c:v>71.3</c:v>
                </c:pt>
                <c:pt idx="20">
                  <c:v>74.400000000000006</c:v>
                </c:pt>
                <c:pt idx="21">
                  <c:v>73.5</c:v>
                </c:pt>
                <c:pt idx="22">
                  <c:v>70.900000000000006</c:v>
                </c:pt>
                <c:pt idx="23">
                  <c:v>69.8</c:v>
                </c:pt>
                <c:pt idx="24">
                  <c:v>70.900000000000006</c:v>
                </c:pt>
                <c:pt idx="25">
                  <c:v>65.400000000000006</c:v>
                </c:pt>
                <c:pt idx="26">
                  <c:v>65.5</c:v>
                </c:pt>
                <c:pt idx="27">
                  <c:v>70.099999999999994</c:v>
                </c:pt>
                <c:pt idx="28">
                  <c:v>67.8</c:v>
                </c:pt>
                <c:pt idx="29">
                  <c:v>68.8</c:v>
                </c:pt>
                <c:pt idx="30">
                  <c:v>65.5</c:v>
                </c:pt>
                <c:pt idx="31">
                  <c:v>67.599999999999994</c:v>
                </c:pt>
                <c:pt idx="32">
                  <c:v>68.7</c:v>
                </c:pt>
                <c:pt idx="33">
                  <c:v>65.3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1C-43F9-8DCB-2D5ECE9DA915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762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BIOGÁS'!$B$2:$B$46</c:f>
              <c:numCache>
                <c:formatCode>General</c:formatCode>
                <c:ptCount val="4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</c:numCache>
            </c:numRef>
          </c:xVal>
          <c:yVal>
            <c:numRef>
              <c:f>'GRÁFICA CALIDAD BIOGÁS'!$H$2:$H$46</c:f>
              <c:numCache>
                <c:formatCode>General</c:formatCode>
                <c:ptCount val="45"/>
                <c:pt idx="0">
                  <c:v>0</c:v>
                </c:pt>
                <c:pt idx="1">
                  <c:v>6.8</c:v>
                </c:pt>
                <c:pt idx="2">
                  <c:v>15.8</c:v>
                </c:pt>
                <c:pt idx="3">
                  <c:v>18.2</c:v>
                </c:pt>
                <c:pt idx="4">
                  <c:v>19.3</c:v>
                </c:pt>
                <c:pt idx="5">
                  <c:v>25.3</c:v>
                </c:pt>
                <c:pt idx="6">
                  <c:v>30.2</c:v>
                </c:pt>
                <c:pt idx="7">
                  <c:v>36.5</c:v>
                </c:pt>
                <c:pt idx="8">
                  <c:v>42.6</c:v>
                </c:pt>
                <c:pt idx="9">
                  <c:v>49.2</c:v>
                </c:pt>
                <c:pt idx="10">
                  <c:v>58.9</c:v>
                </c:pt>
                <c:pt idx="11">
                  <c:v>63.3</c:v>
                </c:pt>
                <c:pt idx="12">
                  <c:v>65.8</c:v>
                </c:pt>
                <c:pt idx="13">
                  <c:v>69.3</c:v>
                </c:pt>
                <c:pt idx="14">
                  <c:v>68.599999999999994</c:v>
                </c:pt>
                <c:pt idx="15">
                  <c:v>68.900000000000006</c:v>
                </c:pt>
                <c:pt idx="16">
                  <c:v>63.7</c:v>
                </c:pt>
                <c:pt idx="17">
                  <c:v>69</c:v>
                </c:pt>
                <c:pt idx="18">
                  <c:v>72.099999999999994</c:v>
                </c:pt>
                <c:pt idx="19">
                  <c:v>74.099999999999994</c:v>
                </c:pt>
                <c:pt idx="20">
                  <c:v>73.099999999999994</c:v>
                </c:pt>
                <c:pt idx="21">
                  <c:v>69.8</c:v>
                </c:pt>
                <c:pt idx="22">
                  <c:v>68.900000000000006</c:v>
                </c:pt>
                <c:pt idx="23">
                  <c:v>74.2</c:v>
                </c:pt>
                <c:pt idx="24">
                  <c:v>68.599999999999994</c:v>
                </c:pt>
                <c:pt idx="25">
                  <c:v>69.099999999999994</c:v>
                </c:pt>
                <c:pt idx="26">
                  <c:v>68.400000000000006</c:v>
                </c:pt>
                <c:pt idx="27">
                  <c:v>64.900000000000006</c:v>
                </c:pt>
                <c:pt idx="28">
                  <c:v>67.099999999999994</c:v>
                </c:pt>
                <c:pt idx="29">
                  <c:v>67.5</c:v>
                </c:pt>
                <c:pt idx="30">
                  <c:v>66.400000000000006</c:v>
                </c:pt>
                <c:pt idx="31">
                  <c:v>65.2</c:v>
                </c:pt>
                <c:pt idx="32">
                  <c:v>69.8</c:v>
                </c:pt>
                <c:pt idx="33">
                  <c:v>66.3</c:v>
                </c:pt>
                <c:pt idx="34">
                  <c:v>68.099999999999994</c:v>
                </c:pt>
                <c:pt idx="35">
                  <c:v>69.599999999999994</c:v>
                </c:pt>
                <c:pt idx="36">
                  <c:v>65.599999999999994</c:v>
                </c:pt>
                <c:pt idx="37">
                  <c:v>69.8</c:v>
                </c:pt>
                <c:pt idx="38">
                  <c:v>70.8</c:v>
                </c:pt>
                <c:pt idx="39">
                  <c:v>67.2</c:v>
                </c:pt>
                <c:pt idx="40">
                  <c:v>66.5</c:v>
                </c:pt>
                <c:pt idx="41">
                  <c:v>60.2</c:v>
                </c:pt>
                <c:pt idx="42">
                  <c:v>61.1</c:v>
                </c:pt>
                <c:pt idx="43">
                  <c:v>60.9</c:v>
                </c:pt>
                <c:pt idx="44">
                  <c:v>70.099999999999994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1C-43F9-8DCB-2D5ECE9D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030463"/>
        <c:axId val="2036030879"/>
      </c:scatterChart>
      <c:valAx>
        <c:axId val="2036030463"/>
        <c:scaling>
          <c:orientation val="minMax"/>
          <c:max val="1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Transcurridos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8573325909744055"/>
              <c:y val="0.92167892282822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030879"/>
        <c:crosses val="autoZero"/>
        <c:crossBetween val="midCat"/>
        <c:majorUnit val="5"/>
      </c:valAx>
      <c:valAx>
        <c:axId val="20360308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CH4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0304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35779406942615"/>
          <c:y val="0.52011127322141038"/>
          <c:w val="0.15196083486841613"/>
          <c:h val="0.130710795077601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 DE SOLIDOS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VOLATILES</a:t>
            </a:r>
          </a:p>
          <a:p>
            <a:pPr>
              <a:defRPr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CORRIDA 1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156714785651793"/>
          <c:y val="0.16712962962962963"/>
          <c:w val="0.74798840769903774"/>
          <c:h val="0.6198920968212307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1'!$B$3:$B$117</c:f>
              <c:numCache>
                <c:formatCode>General</c:formatCode>
                <c:ptCount val="115"/>
                <c:pt idx="0">
                  <c:v>0</c:v>
                </c:pt>
                <c:pt idx="3">
                  <c:v>2</c:v>
                </c:pt>
                <c:pt idx="6">
                  <c:v>5</c:v>
                </c:pt>
                <c:pt idx="9">
                  <c:v>7</c:v>
                </c:pt>
                <c:pt idx="12">
                  <c:v>9</c:v>
                </c:pt>
                <c:pt idx="15">
                  <c:v>12</c:v>
                </c:pt>
                <c:pt idx="18">
                  <c:v>14</c:v>
                </c:pt>
                <c:pt idx="21">
                  <c:v>16</c:v>
                </c:pt>
                <c:pt idx="24">
                  <c:v>19</c:v>
                </c:pt>
                <c:pt idx="27">
                  <c:v>21</c:v>
                </c:pt>
                <c:pt idx="30">
                  <c:v>23</c:v>
                </c:pt>
                <c:pt idx="33">
                  <c:v>26</c:v>
                </c:pt>
                <c:pt idx="36">
                  <c:v>28</c:v>
                </c:pt>
                <c:pt idx="39">
                  <c:v>30</c:v>
                </c:pt>
                <c:pt idx="42">
                  <c:v>33</c:v>
                </c:pt>
                <c:pt idx="45">
                  <c:v>35</c:v>
                </c:pt>
                <c:pt idx="48">
                  <c:v>37</c:v>
                </c:pt>
                <c:pt idx="51">
                  <c:v>40</c:v>
                </c:pt>
                <c:pt idx="54">
                  <c:v>42</c:v>
                </c:pt>
                <c:pt idx="57">
                  <c:v>44</c:v>
                </c:pt>
                <c:pt idx="60">
                  <c:v>47</c:v>
                </c:pt>
                <c:pt idx="63">
                  <c:v>49</c:v>
                </c:pt>
                <c:pt idx="66">
                  <c:v>51</c:v>
                </c:pt>
                <c:pt idx="69">
                  <c:v>54</c:v>
                </c:pt>
                <c:pt idx="72">
                  <c:v>56</c:v>
                </c:pt>
                <c:pt idx="75">
                  <c:v>58</c:v>
                </c:pt>
                <c:pt idx="78">
                  <c:v>61</c:v>
                </c:pt>
                <c:pt idx="81">
                  <c:v>63</c:v>
                </c:pt>
                <c:pt idx="84">
                  <c:v>65</c:v>
                </c:pt>
                <c:pt idx="87">
                  <c:v>68</c:v>
                </c:pt>
                <c:pt idx="90">
                  <c:v>70</c:v>
                </c:pt>
                <c:pt idx="93">
                  <c:v>72</c:v>
                </c:pt>
                <c:pt idx="96">
                  <c:v>75</c:v>
                </c:pt>
                <c:pt idx="99">
                  <c:v>77</c:v>
                </c:pt>
                <c:pt idx="102">
                  <c:v>79</c:v>
                </c:pt>
                <c:pt idx="105">
                  <c:v>82</c:v>
                </c:pt>
                <c:pt idx="108">
                  <c:v>84</c:v>
                </c:pt>
                <c:pt idx="111">
                  <c:v>86</c:v>
                </c:pt>
                <c:pt idx="114">
                  <c:v>89</c:v>
                </c:pt>
              </c:numCache>
            </c:numRef>
          </c:xVal>
          <c:yVal>
            <c:numRef>
              <c:f>'ST Y SV REACTOR 1'!$Q$3:$Q$117</c:f>
              <c:numCache>
                <c:formatCode>General</c:formatCode>
                <c:ptCount val="115"/>
                <c:pt idx="0" formatCode="0.00">
                  <c:v>70.397549105256005</c:v>
                </c:pt>
                <c:pt idx="3" formatCode="0.00">
                  <c:v>67.89869408380325</c:v>
                </c:pt>
                <c:pt idx="6" formatCode="0.00">
                  <c:v>161.76539825532493</c:v>
                </c:pt>
                <c:pt idx="9" formatCode="0.00">
                  <c:v>68.996041557066704</c:v>
                </c:pt>
                <c:pt idx="12" formatCode="0.00">
                  <c:v>81.901389346763935</c:v>
                </c:pt>
                <c:pt idx="15" formatCode="0.00">
                  <c:v>79.425522537163488</c:v>
                </c:pt>
                <c:pt idx="18" formatCode="0.00">
                  <c:v>77.309717891976121</c:v>
                </c:pt>
                <c:pt idx="21" formatCode="0.00">
                  <c:v>76.721711603276546</c:v>
                </c:pt>
                <c:pt idx="24" formatCode="0.00">
                  <c:v>76.956813387600718</c:v>
                </c:pt>
                <c:pt idx="27" formatCode="0.00">
                  <c:v>64.326171125612191</c:v>
                </c:pt>
                <c:pt idx="30" formatCode="0.00">
                  <c:v>64.440688132312872</c:v>
                </c:pt>
                <c:pt idx="33" formatCode="0.00">
                  <c:v>58.004164020268369</c:v>
                </c:pt>
                <c:pt idx="36" formatCode="0.00">
                  <c:v>65.364721709795276</c:v>
                </c:pt>
                <c:pt idx="39" formatCode="0.00">
                  <c:v>63.239193955006691</c:v>
                </c:pt>
                <c:pt idx="42" formatCode="0.00">
                  <c:v>66.606719385586288</c:v>
                </c:pt>
                <c:pt idx="45" formatCode="0.00">
                  <c:v>61.170800042054246</c:v>
                </c:pt>
                <c:pt idx="48" formatCode="0.00">
                  <c:v>65.723704060369187</c:v>
                </c:pt>
                <c:pt idx="51" formatCode="0.00">
                  <c:v>66.08396915051479</c:v>
                </c:pt>
                <c:pt idx="54" formatCode="0.00">
                  <c:v>68.109168192010259</c:v>
                </c:pt>
                <c:pt idx="57" formatCode="0.00">
                  <c:v>65.688661186755752</c:v>
                </c:pt>
                <c:pt idx="60" formatCode="0.00">
                  <c:v>54.828017377039707</c:v>
                </c:pt>
                <c:pt idx="63" formatCode="0.00">
                  <c:v>66.324621884814704</c:v>
                </c:pt>
                <c:pt idx="66" formatCode="0.00">
                  <c:v>57.895801288097665</c:v>
                </c:pt>
                <c:pt idx="69" formatCode="0.00">
                  <c:v>67.653765011882371</c:v>
                </c:pt>
                <c:pt idx="72" formatCode="0.00">
                  <c:v>65.074117456348844</c:v>
                </c:pt>
                <c:pt idx="75" formatCode="0.00">
                  <c:v>60.471425091257196</c:v>
                </c:pt>
                <c:pt idx="78" formatCode="0.00">
                  <c:v>55.613244763816652</c:v>
                </c:pt>
                <c:pt idx="81" formatCode="0.00">
                  <c:v>-121.10272404807483</c:v>
                </c:pt>
                <c:pt idx="84" formatCode="0.00">
                  <c:v>69.657658020493599</c:v>
                </c:pt>
                <c:pt idx="87" formatCode="0.00">
                  <c:v>65.627350930805491</c:v>
                </c:pt>
                <c:pt idx="90" formatCode="0.00">
                  <c:v>65.251737856983155</c:v>
                </c:pt>
                <c:pt idx="93" formatCode="0.00">
                  <c:v>66.830765072969527</c:v>
                </c:pt>
                <c:pt idx="96" formatCode="0.00">
                  <c:v>72.887931006494313</c:v>
                </c:pt>
                <c:pt idx="99" formatCode="0.00">
                  <c:v>68.929918512817196</c:v>
                </c:pt>
                <c:pt idx="102" formatCode="0.00">
                  <c:v>69.374703907706433</c:v>
                </c:pt>
                <c:pt idx="105" formatCode="0.00">
                  <c:v>71.831174547947569</c:v>
                </c:pt>
                <c:pt idx="108" formatCode="0.00">
                  <c:v>65.635345214858887</c:v>
                </c:pt>
                <c:pt idx="111" formatCode="0.00">
                  <c:v>68.298765490223545</c:v>
                </c:pt>
                <c:pt idx="114" formatCode="0.00">
                  <c:v>71.107329018146956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79-4BC2-ADA0-D5A842DAC74B}"/>
            </c:ext>
          </c:extLst>
        </c:ser>
        <c:ser>
          <c:idx val="2"/>
          <c:order val="1"/>
          <c:tx>
            <c:v>Reactor 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03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1'!$B$3:$B$117</c:f>
              <c:numCache>
                <c:formatCode>General</c:formatCode>
                <c:ptCount val="115"/>
                <c:pt idx="0">
                  <c:v>0</c:v>
                </c:pt>
                <c:pt idx="3">
                  <c:v>2</c:v>
                </c:pt>
                <c:pt idx="6">
                  <c:v>5</c:v>
                </c:pt>
                <c:pt idx="9">
                  <c:v>7</c:v>
                </c:pt>
                <c:pt idx="12">
                  <c:v>9</c:v>
                </c:pt>
                <c:pt idx="15">
                  <c:v>12</c:v>
                </c:pt>
                <c:pt idx="18">
                  <c:v>14</c:v>
                </c:pt>
                <c:pt idx="21">
                  <c:v>16</c:v>
                </c:pt>
                <c:pt idx="24">
                  <c:v>19</c:v>
                </c:pt>
                <c:pt idx="27">
                  <c:v>21</c:v>
                </c:pt>
                <c:pt idx="30">
                  <c:v>23</c:v>
                </c:pt>
                <c:pt idx="33">
                  <c:v>26</c:v>
                </c:pt>
                <c:pt idx="36">
                  <c:v>28</c:v>
                </c:pt>
                <c:pt idx="39">
                  <c:v>30</c:v>
                </c:pt>
                <c:pt idx="42">
                  <c:v>33</c:v>
                </c:pt>
                <c:pt idx="45">
                  <c:v>35</c:v>
                </c:pt>
                <c:pt idx="48">
                  <c:v>37</c:v>
                </c:pt>
                <c:pt idx="51">
                  <c:v>40</c:v>
                </c:pt>
                <c:pt idx="54">
                  <c:v>42</c:v>
                </c:pt>
                <c:pt idx="57">
                  <c:v>44</c:v>
                </c:pt>
                <c:pt idx="60">
                  <c:v>47</c:v>
                </c:pt>
                <c:pt idx="63">
                  <c:v>49</c:v>
                </c:pt>
                <c:pt idx="66">
                  <c:v>51</c:v>
                </c:pt>
                <c:pt idx="69">
                  <c:v>54</c:v>
                </c:pt>
                <c:pt idx="72">
                  <c:v>56</c:v>
                </c:pt>
                <c:pt idx="75">
                  <c:v>58</c:v>
                </c:pt>
                <c:pt idx="78">
                  <c:v>61</c:v>
                </c:pt>
                <c:pt idx="81">
                  <c:v>63</c:v>
                </c:pt>
                <c:pt idx="84">
                  <c:v>65</c:v>
                </c:pt>
                <c:pt idx="87">
                  <c:v>68</c:v>
                </c:pt>
                <c:pt idx="90">
                  <c:v>70</c:v>
                </c:pt>
                <c:pt idx="93">
                  <c:v>72</c:v>
                </c:pt>
                <c:pt idx="96">
                  <c:v>75</c:v>
                </c:pt>
                <c:pt idx="99">
                  <c:v>77</c:v>
                </c:pt>
                <c:pt idx="102">
                  <c:v>79</c:v>
                </c:pt>
                <c:pt idx="105">
                  <c:v>82</c:v>
                </c:pt>
                <c:pt idx="108">
                  <c:v>84</c:v>
                </c:pt>
                <c:pt idx="111">
                  <c:v>86</c:v>
                </c:pt>
                <c:pt idx="114">
                  <c:v>89</c:v>
                </c:pt>
              </c:numCache>
            </c:numRef>
          </c:xVal>
          <c:yVal>
            <c:numRef>
              <c:f>'ST Y SV REACTOR 2'!$N$3:$N$114</c:f>
              <c:numCache>
                <c:formatCode>General</c:formatCode>
                <c:ptCount val="112"/>
                <c:pt idx="0" formatCode="0.00">
                  <c:v>69.816660696086089</c:v>
                </c:pt>
                <c:pt idx="3" formatCode="0.00">
                  <c:v>66.915217823306548</c:v>
                </c:pt>
                <c:pt idx="6" formatCode="0.00">
                  <c:v>63.39020304612427</c:v>
                </c:pt>
                <c:pt idx="9" formatCode="0.00">
                  <c:v>57.779236009473664</c:v>
                </c:pt>
                <c:pt idx="12" formatCode="0.00">
                  <c:v>51.422058236662394</c:v>
                </c:pt>
                <c:pt idx="15" formatCode="0.00">
                  <c:v>54.084706799935269</c:v>
                </c:pt>
                <c:pt idx="18" formatCode="0.00">
                  <c:v>55.360184278050234</c:v>
                </c:pt>
                <c:pt idx="21" formatCode="0.00">
                  <c:v>47.498068472010111</c:v>
                </c:pt>
                <c:pt idx="24" formatCode="0.00">
                  <c:v>47.136503991172731</c:v>
                </c:pt>
                <c:pt idx="27" formatCode="0.00">
                  <c:v>62.658075337900335</c:v>
                </c:pt>
                <c:pt idx="30" formatCode="0.00">
                  <c:v>61.647415261164063</c:v>
                </c:pt>
                <c:pt idx="33" formatCode="0.00">
                  <c:v>64.743125675848077</c:v>
                </c:pt>
                <c:pt idx="36" formatCode="0.00">
                  <c:v>61.43579010957405</c:v>
                </c:pt>
                <c:pt idx="39" formatCode="0.00">
                  <c:v>60.36587656568161</c:v>
                </c:pt>
                <c:pt idx="42" formatCode="0.00">
                  <c:v>72.465648741083882</c:v>
                </c:pt>
                <c:pt idx="45" formatCode="0.00">
                  <c:v>60.854488857999478</c:v>
                </c:pt>
                <c:pt idx="48" formatCode="0.00">
                  <c:v>62.050851957003978</c:v>
                </c:pt>
                <c:pt idx="51" formatCode="0.00">
                  <c:v>63.960789618171788</c:v>
                </c:pt>
                <c:pt idx="54" formatCode="0.00">
                  <c:v>62.338622618462352</c:v>
                </c:pt>
                <c:pt idx="57" formatCode="0.00">
                  <c:v>63.057284988795196</c:v>
                </c:pt>
                <c:pt idx="60" formatCode="0.00">
                  <c:v>67.412017954166757</c:v>
                </c:pt>
                <c:pt idx="63" formatCode="0.00">
                  <c:v>61.041683121440741</c:v>
                </c:pt>
                <c:pt idx="66" formatCode="0.00">
                  <c:v>59.800243797008996</c:v>
                </c:pt>
                <c:pt idx="69" formatCode="0.00">
                  <c:v>58.462441295421293</c:v>
                </c:pt>
                <c:pt idx="72" formatCode="0.00">
                  <c:v>61.053793436343824</c:v>
                </c:pt>
                <c:pt idx="75" formatCode="0.00">
                  <c:v>62.272660499035034</c:v>
                </c:pt>
                <c:pt idx="78" formatCode="0.00">
                  <c:v>67.873485147242377</c:v>
                </c:pt>
                <c:pt idx="81" formatCode="0.00">
                  <c:v>62.26634794420702</c:v>
                </c:pt>
                <c:pt idx="84" formatCode="0.00">
                  <c:v>63.151121650493373</c:v>
                </c:pt>
                <c:pt idx="87" formatCode="0.00">
                  <c:v>62.460466577443604</c:v>
                </c:pt>
                <c:pt idx="90" formatCode="0.00">
                  <c:v>62.211547009547907</c:v>
                </c:pt>
                <c:pt idx="93" formatCode="0.00">
                  <c:v>61.704865407683592</c:v>
                </c:pt>
                <c:pt idx="96" formatCode="0.00">
                  <c:v>66.425855318754373</c:v>
                </c:pt>
                <c:pt idx="99" formatCode="0.00">
                  <c:v>68.13751040618304</c:v>
                </c:pt>
                <c:pt idx="102" formatCode="0.00">
                  <c:v>64.796253462558056</c:v>
                </c:pt>
                <c:pt idx="105" formatCode="0.00">
                  <c:v>65.867070720803056</c:v>
                </c:pt>
                <c:pt idx="108" formatCode="0.00">
                  <c:v>63.022758118571659</c:v>
                </c:pt>
                <c:pt idx="111" formatCode="0.00">
                  <c:v>67.200862473499953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679-4BC2-ADA0-D5A842DAC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140512"/>
        <c:axId val="1141136352"/>
      </c:scatterChart>
      <c:valAx>
        <c:axId val="114114051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  <a:r>
                  <a:rPr lang="en-US" sz="12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 sz="12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1136352"/>
        <c:crosses val="autoZero"/>
        <c:crossBetween val="midCat"/>
        <c:majorUnit val="5"/>
      </c:valAx>
      <c:valAx>
        <c:axId val="11411363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SV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1140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12445319335079"/>
          <c:y val="5.4050379119276765E-2"/>
          <c:w val="8.8283225742155358E-2"/>
          <c:h val="6.7410037922364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1'!$B$3:$B$111</c:f>
              <c:numCache>
                <c:formatCode>General</c:formatCode>
                <c:ptCount val="109"/>
                <c:pt idx="0">
                  <c:v>0</c:v>
                </c:pt>
                <c:pt idx="3">
                  <c:v>2</c:v>
                </c:pt>
                <c:pt idx="6">
                  <c:v>5</c:v>
                </c:pt>
                <c:pt idx="9">
                  <c:v>7</c:v>
                </c:pt>
                <c:pt idx="12">
                  <c:v>9</c:v>
                </c:pt>
                <c:pt idx="15">
                  <c:v>12</c:v>
                </c:pt>
                <c:pt idx="18">
                  <c:v>14</c:v>
                </c:pt>
                <c:pt idx="21">
                  <c:v>16</c:v>
                </c:pt>
                <c:pt idx="24">
                  <c:v>19</c:v>
                </c:pt>
                <c:pt idx="27">
                  <c:v>21</c:v>
                </c:pt>
                <c:pt idx="30">
                  <c:v>23</c:v>
                </c:pt>
                <c:pt idx="33">
                  <c:v>26</c:v>
                </c:pt>
                <c:pt idx="36">
                  <c:v>28</c:v>
                </c:pt>
                <c:pt idx="39">
                  <c:v>30</c:v>
                </c:pt>
                <c:pt idx="42">
                  <c:v>33</c:v>
                </c:pt>
                <c:pt idx="45">
                  <c:v>35</c:v>
                </c:pt>
                <c:pt idx="48">
                  <c:v>37</c:v>
                </c:pt>
                <c:pt idx="51">
                  <c:v>40</c:v>
                </c:pt>
                <c:pt idx="54">
                  <c:v>42</c:v>
                </c:pt>
                <c:pt idx="57">
                  <c:v>44</c:v>
                </c:pt>
                <c:pt idx="60">
                  <c:v>47</c:v>
                </c:pt>
                <c:pt idx="63">
                  <c:v>49</c:v>
                </c:pt>
                <c:pt idx="66">
                  <c:v>51</c:v>
                </c:pt>
                <c:pt idx="69">
                  <c:v>54</c:v>
                </c:pt>
                <c:pt idx="72">
                  <c:v>56</c:v>
                </c:pt>
                <c:pt idx="75">
                  <c:v>58</c:v>
                </c:pt>
                <c:pt idx="78">
                  <c:v>61</c:v>
                </c:pt>
                <c:pt idx="81">
                  <c:v>63</c:v>
                </c:pt>
                <c:pt idx="84">
                  <c:v>65</c:v>
                </c:pt>
                <c:pt idx="87">
                  <c:v>68</c:v>
                </c:pt>
                <c:pt idx="90">
                  <c:v>70</c:v>
                </c:pt>
                <c:pt idx="93">
                  <c:v>72</c:v>
                </c:pt>
                <c:pt idx="96">
                  <c:v>75</c:v>
                </c:pt>
                <c:pt idx="99">
                  <c:v>77</c:v>
                </c:pt>
                <c:pt idx="102">
                  <c:v>79</c:v>
                </c:pt>
                <c:pt idx="105">
                  <c:v>82</c:v>
                </c:pt>
                <c:pt idx="108">
                  <c:v>84</c:v>
                </c:pt>
              </c:numCache>
            </c:numRef>
          </c:xVal>
          <c:yVal>
            <c:numRef>
              <c:f>'ST Y SV REACTOR 1'!$M$3:$M$115</c:f>
              <c:numCache>
                <c:formatCode>0.00</c:formatCode>
                <c:ptCount val="113"/>
                <c:pt idx="0">
                  <c:v>7.2895670227936309</c:v>
                </c:pt>
                <c:pt idx="3">
                  <c:v>6.8528087971894927</c:v>
                </c:pt>
                <c:pt idx="6">
                  <c:v>7.2886143949463653</c:v>
                </c:pt>
                <c:pt idx="9">
                  <c:v>7.4562100110301088</c:v>
                </c:pt>
                <c:pt idx="12">
                  <c:v>7.0388285988505261</c:v>
                </c:pt>
                <c:pt idx="15">
                  <c:v>7.1512560764571527</c:v>
                </c:pt>
                <c:pt idx="18">
                  <c:v>6.7816596088736398</c:v>
                </c:pt>
                <c:pt idx="21">
                  <c:v>7.1812986528601579</c:v>
                </c:pt>
                <c:pt idx="24">
                  <c:v>7.0847463577058987</c:v>
                </c:pt>
                <c:pt idx="27">
                  <c:v>6.3585500689555312</c:v>
                </c:pt>
                <c:pt idx="30">
                  <c:v>6.0465856586325879</c:v>
                </c:pt>
                <c:pt idx="33">
                  <c:v>5.7095282455292002</c:v>
                </c:pt>
                <c:pt idx="36">
                  <c:v>6.297516877433142</c:v>
                </c:pt>
                <c:pt idx="39">
                  <c:v>6.0247789607310098</c:v>
                </c:pt>
                <c:pt idx="42">
                  <c:v>6.7245786868978108</c:v>
                </c:pt>
                <c:pt idx="45">
                  <c:v>5.7786494393320957</c:v>
                </c:pt>
                <c:pt idx="48">
                  <c:v>5.9558687324537267</c:v>
                </c:pt>
                <c:pt idx="51">
                  <c:v>5.9642516288887242</c:v>
                </c:pt>
                <c:pt idx="54">
                  <c:v>5.8629439273382422</c:v>
                </c:pt>
                <c:pt idx="57">
                  <c:v>5.8774495010634595</c:v>
                </c:pt>
                <c:pt idx="60">
                  <c:v>5.0837134292525645</c:v>
                </c:pt>
                <c:pt idx="63">
                  <c:v>6.3726104278422175</c:v>
                </c:pt>
                <c:pt idx="66">
                  <c:v>5.0703179455539429</c:v>
                </c:pt>
                <c:pt idx="69">
                  <c:v>5.1512748580060981</c:v>
                </c:pt>
                <c:pt idx="72">
                  <c:v>4.9989855716908513</c:v>
                </c:pt>
                <c:pt idx="75">
                  <c:v>4.7590295817413635</c:v>
                </c:pt>
                <c:pt idx="78">
                  <c:v>5.5117675186889015</c:v>
                </c:pt>
                <c:pt idx="81">
                  <c:v>3.8229472933805639</c:v>
                </c:pt>
                <c:pt idx="84">
                  <c:v>4.7011103276964992</c:v>
                </c:pt>
                <c:pt idx="87">
                  <c:v>5.1117783338044074</c:v>
                </c:pt>
                <c:pt idx="90">
                  <c:v>4.6359844088491657</c:v>
                </c:pt>
                <c:pt idx="93">
                  <c:v>4.6010666328210954</c:v>
                </c:pt>
                <c:pt idx="96">
                  <c:v>5.1044647021124794</c:v>
                </c:pt>
                <c:pt idx="99">
                  <c:v>4.2849380002051829</c:v>
                </c:pt>
                <c:pt idx="102">
                  <c:v>4.1863684233182061</c:v>
                </c:pt>
                <c:pt idx="105">
                  <c:v>4.0125983370435669</c:v>
                </c:pt>
                <c:pt idx="108">
                  <c:v>3.7289642798705294</c:v>
                </c:pt>
                <c:pt idx="111">
                  <c:v>3.8338560495509397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BE-4CAC-A557-FB94B55DEE72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1'!$B$3:$B$111</c:f>
              <c:numCache>
                <c:formatCode>General</c:formatCode>
                <c:ptCount val="109"/>
                <c:pt idx="0">
                  <c:v>0</c:v>
                </c:pt>
                <c:pt idx="3">
                  <c:v>2</c:v>
                </c:pt>
                <c:pt idx="6">
                  <c:v>5</c:v>
                </c:pt>
                <c:pt idx="9">
                  <c:v>7</c:v>
                </c:pt>
                <c:pt idx="12">
                  <c:v>9</c:v>
                </c:pt>
                <c:pt idx="15">
                  <c:v>12</c:v>
                </c:pt>
                <c:pt idx="18">
                  <c:v>14</c:v>
                </c:pt>
                <c:pt idx="21">
                  <c:v>16</c:v>
                </c:pt>
                <c:pt idx="24">
                  <c:v>19</c:v>
                </c:pt>
                <c:pt idx="27">
                  <c:v>21</c:v>
                </c:pt>
                <c:pt idx="30">
                  <c:v>23</c:v>
                </c:pt>
                <c:pt idx="33">
                  <c:v>26</c:v>
                </c:pt>
                <c:pt idx="36">
                  <c:v>28</c:v>
                </c:pt>
                <c:pt idx="39">
                  <c:v>30</c:v>
                </c:pt>
                <c:pt idx="42">
                  <c:v>33</c:v>
                </c:pt>
                <c:pt idx="45">
                  <c:v>35</c:v>
                </c:pt>
                <c:pt idx="48">
                  <c:v>37</c:v>
                </c:pt>
                <c:pt idx="51">
                  <c:v>40</c:v>
                </c:pt>
                <c:pt idx="54">
                  <c:v>42</c:v>
                </c:pt>
                <c:pt idx="57">
                  <c:v>44</c:v>
                </c:pt>
                <c:pt idx="60">
                  <c:v>47</c:v>
                </c:pt>
                <c:pt idx="63">
                  <c:v>49</c:v>
                </c:pt>
                <c:pt idx="66">
                  <c:v>51</c:v>
                </c:pt>
                <c:pt idx="69">
                  <c:v>54</c:v>
                </c:pt>
                <c:pt idx="72">
                  <c:v>56</c:v>
                </c:pt>
                <c:pt idx="75">
                  <c:v>58</c:v>
                </c:pt>
                <c:pt idx="78">
                  <c:v>61</c:v>
                </c:pt>
                <c:pt idx="81">
                  <c:v>63</c:v>
                </c:pt>
                <c:pt idx="84">
                  <c:v>65</c:v>
                </c:pt>
                <c:pt idx="87">
                  <c:v>68</c:v>
                </c:pt>
                <c:pt idx="90">
                  <c:v>70</c:v>
                </c:pt>
                <c:pt idx="93">
                  <c:v>72</c:v>
                </c:pt>
                <c:pt idx="96">
                  <c:v>75</c:v>
                </c:pt>
                <c:pt idx="99">
                  <c:v>77</c:v>
                </c:pt>
                <c:pt idx="102">
                  <c:v>79</c:v>
                </c:pt>
                <c:pt idx="105">
                  <c:v>82</c:v>
                </c:pt>
                <c:pt idx="108">
                  <c:v>84</c:v>
                </c:pt>
              </c:numCache>
            </c:numRef>
          </c:xVal>
          <c:yVal>
            <c:numRef>
              <c:f>'ST Y SV REACTOR 2'!$M$3:$M$114</c:f>
              <c:numCache>
                <c:formatCode>0.00</c:formatCode>
                <c:ptCount val="112"/>
                <c:pt idx="0">
                  <c:v>7.0177174732424517</c:v>
                </c:pt>
                <c:pt idx="3">
                  <c:v>7.147621175519693</c:v>
                </c:pt>
                <c:pt idx="6">
                  <c:v>6.2746667722925649</c:v>
                </c:pt>
                <c:pt idx="9">
                  <c:v>7.3554076981457577</c:v>
                </c:pt>
                <c:pt idx="12">
                  <c:v>6.8211312824466326</c:v>
                </c:pt>
                <c:pt idx="15">
                  <c:v>7.1421806330821367</c:v>
                </c:pt>
                <c:pt idx="18">
                  <c:v>6.3736251591054911</c:v>
                </c:pt>
                <c:pt idx="21">
                  <c:v>6.9278361523958596</c:v>
                </c:pt>
                <c:pt idx="24">
                  <c:v>6.9113775456360136</c:v>
                </c:pt>
                <c:pt idx="27">
                  <c:v>6.6539441120228018</c:v>
                </c:pt>
                <c:pt idx="30">
                  <c:v>6.2994575338406902</c:v>
                </c:pt>
                <c:pt idx="33">
                  <c:v>5.7721435700733821</c:v>
                </c:pt>
                <c:pt idx="36">
                  <c:v>6.2502164624350849</c:v>
                </c:pt>
                <c:pt idx="39">
                  <c:v>6.1545645397615116</c:v>
                </c:pt>
                <c:pt idx="42">
                  <c:v>5.1617514597630585</c:v>
                </c:pt>
                <c:pt idx="45">
                  <c:v>5.9826357952018592</c:v>
                </c:pt>
                <c:pt idx="48">
                  <c:v>6.0952401467211574</c:v>
                </c:pt>
                <c:pt idx="51">
                  <c:v>6.2849582133048782</c:v>
                </c:pt>
                <c:pt idx="54">
                  <c:v>5.3354511335720325</c:v>
                </c:pt>
                <c:pt idx="57">
                  <c:v>6.1184302340350776</c:v>
                </c:pt>
                <c:pt idx="60">
                  <c:v>5.6786651008025499</c:v>
                </c:pt>
                <c:pt idx="63">
                  <c:v>6.1197129225308187</c:v>
                </c:pt>
                <c:pt idx="66">
                  <c:v>6.1533299446357139</c:v>
                </c:pt>
                <c:pt idx="69">
                  <c:v>5.1754922574084068</c:v>
                </c:pt>
                <c:pt idx="72">
                  <c:v>5.3455842328599799</c:v>
                </c:pt>
                <c:pt idx="75">
                  <c:v>4.6659489852104077</c:v>
                </c:pt>
                <c:pt idx="78">
                  <c:v>4.9622741486469808</c:v>
                </c:pt>
                <c:pt idx="81">
                  <c:v>3.8565601303569266</c:v>
                </c:pt>
                <c:pt idx="84">
                  <c:v>4.5375738681263353</c:v>
                </c:pt>
                <c:pt idx="87">
                  <c:v>4.8961684358456967</c:v>
                </c:pt>
                <c:pt idx="90">
                  <c:v>4.2600423981667266</c:v>
                </c:pt>
                <c:pt idx="93">
                  <c:v>4.3071088523364747</c:v>
                </c:pt>
                <c:pt idx="96">
                  <c:v>4.6998831648537145</c:v>
                </c:pt>
                <c:pt idx="99">
                  <c:v>4.0862346723231289</c:v>
                </c:pt>
                <c:pt idx="102">
                  <c:v>3.8235188964135234</c:v>
                </c:pt>
                <c:pt idx="105">
                  <c:v>4.0930819452007503</c:v>
                </c:pt>
                <c:pt idx="108">
                  <c:v>3.6923285806372461</c:v>
                </c:pt>
                <c:pt idx="111">
                  <c:v>3.1390096348491165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BE-4CAC-A557-FB94B55DE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451151"/>
        <c:axId val="794463631"/>
      </c:scatterChart>
      <c:valAx>
        <c:axId val="794451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794463631"/>
        <c:crosses val="autoZero"/>
        <c:crossBetween val="midCat"/>
        <c:majorUnit val="10"/>
      </c:valAx>
      <c:valAx>
        <c:axId val="79446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ST</a:t>
                </a:r>
                <a:endParaRPr lang="en-US" sz="14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44511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pH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CORRIDA 1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ADICIÓN NaOH 5M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endParaRPr lang="en-US" sz="12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8222371267169388E-2"/>
          <c:y val="0.16730026846426682"/>
          <c:w val="0.91073102278311757"/>
          <c:h val="0.70373804433287379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pH (2)'!$C$5:$C$59</c:f>
              <c:numCache>
                <c:formatCode>General</c:formatCode>
                <c:ptCount val="5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</c:numCache>
            </c:numRef>
          </c:xVal>
          <c:yVal>
            <c:numRef>
              <c:f>'GRÁFICA pH (2)'!$H$5:$H$59</c:f>
              <c:numCache>
                <c:formatCode>General</c:formatCode>
                <c:ptCount val="55"/>
                <c:pt idx="0">
                  <c:v>7</c:v>
                </c:pt>
                <c:pt idx="1">
                  <c:v>7.2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7.2</c:v>
                </c:pt>
                <c:pt idx="6">
                  <c:v>7.2</c:v>
                </c:pt>
                <c:pt idx="7">
                  <c:v>7</c:v>
                </c:pt>
                <c:pt idx="8">
                  <c:v>7.1</c:v>
                </c:pt>
                <c:pt idx="9">
                  <c:v>7.1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7.2</c:v>
                </c:pt>
                <c:pt idx="15">
                  <c:v>7</c:v>
                </c:pt>
                <c:pt idx="16">
                  <c:v>7</c:v>
                </c:pt>
                <c:pt idx="17">
                  <c:v>7.1</c:v>
                </c:pt>
                <c:pt idx="18">
                  <c:v>7.2</c:v>
                </c:pt>
                <c:pt idx="19">
                  <c:v>7.1</c:v>
                </c:pt>
                <c:pt idx="20">
                  <c:v>7.1</c:v>
                </c:pt>
                <c:pt idx="21">
                  <c:v>7.1</c:v>
                </c:pt>
                <c:pt idx="22">
                  <c:v>7.1</c:v>
                </c:pt>
                <c:pt idx="23">
                  <c:v>7.1</c:v>
                </c:pt>
                <c:pt idx="24">
                  <c:v>7.1</c:v>
                </c:pt>
                <c:pt idx="25">
                  <c:v>7.1</c:v>
                </c:pt>
                <c:pt idx="26">
                  <c:v>7.1</c:v>
                </c:pt>
                <c:pt idx="27">
                  <c:v>7.1</c:v>
                </c:pt>
                <c:pt idx="28">
                  <c:v>7.1</c:v>
                </c:pt>
                <c:pt idx="29">
                  <c:v>7.1</c:v>
                </c:pt>
                <c:pt idx="30">
                  <c:v>7.1</c:v>
                </c:pt>
                <c:pt idx="31">
                  <c:v>7.1</c:v>
                </c:pt>
                <c:pt idx="32">
                  <c:v>7.1</c:v>
                </c:pt>
                <c:pt idx="33">
                  <c:v>7.1</c:v>
                </c:pt>
                <c:pt idx="34">
                  <c:v>7.1</c:v>
                </c:pt>
                <c:pt idx="35">
                  <c:v>7.1</c:v>
                </c:pt>
                <c:pt idx="36">
                  <c:v>7.1</c:v>
                </c:pt>
                <c:pt idx="37">
                  <c:v>7.1</c:v>
                </c:pt>
                <c:pt idx="38">
                  <c:v>7.1</c:v>
                </c:pt>
                <c:pt idx="39">
                  <c:v>7.1</c:v>
                </c:pt>
                <c:pt idx="40">
                  <c:v>7.1</c:v>
                </c:pt>
                <c:pt idx="41">
                  <c:v>7.1</c:v>
                </c:pt>
                <c:pt idx="42">
                  <c:v>7.1</c:v>
                </c:pt>
                <c:pt idx="43">
                  <c:v>7.1</c:v>
                </c:pt>
                <c:pt idx="44">
                  <c:v>7.1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7.1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7.1</c:v>
                </c:pt>
                <c:pt idx="53">
                  <c:v>7.1</c:v>
                </c:pt>
                <c:pt idx="54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0A-4B54-8AE2-DB4476804253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0800">
                <a:solidFill>
                  <a:schemeClr val="accent2"/>
                </a:solidFill>
              </a:ln>
              <a:effectLst/>
            </c:spPr>
          </c:marker>
          <c:xVal>
            <c:numRef>
              <c:f>'GRÁFICA pH (2)'!$C$5:$C$59</c:f>
              <c:numCache>
                <c:formatCode>General</c:formatCode>
                <c:ptCount val="5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</c:numCache>
            </c:numRef>
          </c:xVal>
          <c:yVal>
            <c:numRef>
              <c:f>'GRÁFICA pH (2)'!$E$5:$E$59</c:f>
              <c:numCache>
                <c:formatCode>General</c:formatCode>
                <c:ptCount val="55"/>
                <c:pt idx="0">
                  <c:v>7.1</c:v>
                </c:pt>
                <c:pt idx="1">
                  <c:v>7.2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7.1</c:v>
                </c:pt>
                <c:pt idx="9">
                  <c:v>7.1</c:v>
                </c:pt>
                <c:pt idx="10">
                  <c:v>7.1</c:v>
                </c:pt>
                <c:pt idx="11">
                  <c:v>7.2</c:v>
                </c:pt>
                <c:pt idx="12">
                  <c:v>7.1</c:v>
                </c:pt>
                <c:pt idx="13">
                  <c:v>7.1</c:v>
                </c:pt>
                <c:pt idx="14">
                  <c:v>7</c:v>
                </c:pt>
                <c:pt idx="15">
                  <c:v>7.2</c:v>
                </c:pt>
                <c:pt idx="16">
                  <c:v>7</c:v>
                </c:pt>
                <c:pt idx="17">
                  <c:v>7.1</c:v>
                </c:pt>
                <c:pt idx="18">
                  <c:v>7.2</c:v>
                </c:pt>
                <c:pt idx="19">
                  <c:v>7</c:v>
                </c:pt>
                <c:pt idx="20">
                  <c:v>7.1</c:v>
                </c:pt>
                <c:pt idx="21">
                  <c:v>7.1</c:v>
                </c:pt>
                <c:pt idx="22">
                  <c:v>7.1</c:v>
                </c:pt>
                <c:pt idx="23">
                  <c:v>7.1</c:v>
                </c:pt>
                <c:pt idx="24">
                  <c:v>7.1</c:v>
                </c:pt>
                <c:pt idx="25">
                  <c:v>7.1</c:v>
                </c:pt>
                <c:pt idx="26">
                  <c:v>7.1</c:v>
                </c:pt>
                <c:pt idx="27">
                  <c:v>7.1</c:v>
                </c:pt>
                <c:pt idx="28">
                  <c:v>7.1</c:v>
                </c:pt>
                <c:pt idx="29">
                  <c:v>7.1</c:v>
                </c:pt>
                <c:pt idx="30">
                  <c:v>7.1</c:v>
                </c:pt>
                <c:pt idx="31">
                  <c:v>7.1</c:v>
                </c:pt>
                <c:pt idx="32">
                  <c:v>7.1</c:v>
                </c:pt>
                <c:pt idx="33">
                  <c:v>7.1</c:v>
                </c:pt>
                <c:pt idx="34">
                  <c:v>7.1</c:v>
                </c:pt>
                <c:pt idx="35">
                  <c:v>7.1</c:v>
                </c:pt>
                <c:pt idx="36">
                  <c:v>7.1</c:v>
                </c:pt>
                <c:pt idx="37">
                  <c:v>7.1</c:v>
                </c:pt>
                <c:pt idx="38">
                  <c:v>7.1</c:v>
                </c:pt>
                <c:pt idx="39">
                  <c:v>7.1</c:v>
                </c:pt>
                <c:pt idx="40">
                  <c:v>7.1</c:v>
                </c:pt>
                <c:pt idx="41">
                  <c:v>7.1</c:v>
                </c:pt>
                <c:pt idx="42">
                  <c:v>7.1</c:v>
                </c:pt>
                <c:pt idx="43">
                  <c:v>7.1</c:v>
                </c:pt>
                <c:pt idx="44">
                  <c:v>7.1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7.1</c:v>
                </c:pt>
                <c:pt idx="49">
                  <c:v>7</c:v>
                </c:pt>
                <c:pt idx="50">
                  <c:v>7.1</c:v>
                </c:pt>
                <c:pt idx="51">
                  <c:v>7</c:v>
                </c:pt>
                <c:pt idx="52">
                  <c:v>7.1</c:v>
                </c:pt>
                <c:pt idx="53">
                  <c:v>7.1</c:v>
                </c:pt>
                <c:pt idx="54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0A-4B54-8AE2-DB4476804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595679"/>
        <c:axId val="1148597759"/>
      </c:scatterChart>
      <c:valAx>
        <c:axId val="1148595679"/>
        <c:scaling>
          <c:orientation val="minMax"/>
          <c:max val="128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8597759"/>
        <c:crosses val="autoZero"/>
        <c:crossBetween val="midCat"/>
        <c:majorUnit val="5"/>
      </c:valAx>
      <c:valAx>
        <c:axId val="1148597759"/>
        <c:scaling>
          <c:orientation val="minMax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tx1"/>
                    </a:solidFill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8595679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534694761093009"/>
          <c:y val="0.45881616754651294"/>
          <c:w val="0.24924023672298695"/>
          <c:h val="0.154051212187559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pH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CORRIDA 1 REACTOR 2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ADICIÓN NaOH 5M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endParaRPr lang="en-US" sz="12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6164173876947423E-2"/>
          <c:y val="0.21860917279965922"/>
          <c:w val="0.87450240594925621"/>
          <c:h val="0.6373917322834646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 pH (2)'!$C$5:$C$38</c:f>
              <c:numCache>
                <c:formatCode>General</c:formatCode>
                <c:ptCount val="3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</c:numCache>
            </c:numRef>
          </c:xVal>
          <c:yVal>
            <c:numRef>
              <c:f>'GRÁFICA pH (2)'!$G$5:$G$47</c:f>
              <c:numCache>
                <c:formatCode>General</c:formatCode>
                <c:ptCount val="43"/>
                <c:pt idx="0">
                  <c:v>6.4</c:v>
                </c:pt>
                <c:pt idx="1">
                  <c:v>6.5</c:v>
                </c:pt>
                <c:pt idx="2">
                  <c:v>6.6</c:v>
                </c:pt>
                <c:pt idx="3">
                  <c:v>6.8</c:v>
                </c:pt>
                <c:pt idx="4">
                  <c:v>6.7</c:v>
                </c:pt>
                <c:pt idx="5">
                  <c:v>6.8</c:v>
                </c:pt>
                <c:pt idx="6">
                  <c:v>6.6</c:v>
                </c:pt>
                <c:pt idx="7">
                  <c:v>6.9</c:v>
                </c:pt>
                <c:pt idx="8">
                  <c:v>6.8</c:v>
                </c:pt>
                <c:pt idx="9">
                  <c:v>7.1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6.5</c:v>
                </c:pt>
                <c:pt idx="15">
                  <c:v>7</c:v>
                </c:pt>
                <c:pt idx="16">
                  <c:v>7.3</c:v>
                </c:pt>
                <c:pt idx="17">
                  <c:v>7.2</c:v>
                </c:pt>
                <c:pt idx="18">
                  <c:v>7.2</c:v>
                </c:pt>
                <c:pt idx="19">
                  <c:v>7.3</c:v>
                </c:pt>
                <c:pt idx="20">
                  <c:v>7.4</c:v>
                </c:pt>
                <c:pt idx="21">
                  <c:v>7.4</c:v>
                </c:pt>
                <c:pt idx="22">
                  <c:v>7.5</c:v>
                </c:pt>
                <c:pt idx="23">
                  <c:v>7.4</c:v>
                </c:pt>
                <c:pt idx="24">
                  <c:v>7.3</c:v>
                </c:pt>
                <c:pt idx="25">
                  <c:v>7.4</c:v>
                </c:pt>
                <c:pt idx="26">
                  <c:v>7.4</c:v>
                </c:pt>
                <c:pt idx="27">
                  <c:v>7.4</c:v>
                </c:pt>
                <c:pt idx="28">
                  <c:v>7.3</c:v>
                </c:pt>
                <c:pt idx="29">
                  <c:v>7.4</c:v>
                </c:pt>
                <c:pt idx="30">
                  <c:v>7.4</c:v>
                </c:pt>
                <c:pt idx="31">
                  <c:v>7.4</c:v>
                </c:pt>
                <c:pt idx="32">
                  <c:v>7.4</c:v>
                </c:pt>
                <c:pt idx="33">
                  <c:v>7.3</c:v>
                </c:pt>
                <c:pt idx="34">
                  <c:v>7.4</c:v>
                </c:pt>
                <c:pt idx="35">
                  <c:v>7.4</c:v>
                </c:pt>
                <c:pt idx="36">
                  <c:v>7.4</c:v>
                </c:pt>
                <c:pt idx="37">
                  <c:v>7.3</c:v>
                </c:pt>
                <c:pt idx="38">
                  <c:v>7.4</c:v>
                </c:pt>
                <c:pt idx="39">
                  <c:v>7.4</c:v>
                </c:pt>
                <c:pt idx="40">
                  <c:v>7.4</c:v>
                </c:pt>
                <c:pt idx="41">
                  <c:v>7.4</c:v>
                </c:pt>
                <c:pt idx="42">
                  <c:v>7.4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49-49DD-A02F-CAB6706FFE2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'GRÁFICA pH (2)'!$C$5:$C$31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</c:numCache>
            </c:numRef>
          </c:xVal>
          <c:yVal>
            <c:numRef>
              <c:f>'GRÁFICA pH (2)'!$H$5:$H$31</c:f>
              <c:numCache>
                <c:formatCode>General</c:formatCode>
                <c:ptCount val="27"/>
                <c:pt idx="0">
                  <c:v>7</c:v>
                </c:pt>
                <c:pt idx="1">
                  <c:v>7.2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7.2</c:v>
                </c:pt>
                <c:pt idx="6">
                  <c:v>7.2</c:v>
                </c:pt>
                <c:pt idx="7">
                  <c:v>7</c:v>
                </c:pt>
                <c:pt idx="8">
                  <c:v>7.1</c:v>
                </c:pt>
                <c:pt idx="9">
                  <c:v>7.1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7.2</c:v>
                </c:pt>
                <c:pt idx="15">
                  <c:v>7</c:v>
                </c:pt>
                <c:pt idx="16">
                  <c:v>7</c:v>
                </c:pt>
                <c:pt idx="17">
                  <c:v>7.1</c:v>
                </c:pt>
                <c:pt idx="18">
                  <c:v>7.2</c:v>
                </c:pt>
                <c:pt idx="19">
                  <c:v>7.1</c:v>
                </c:pt>
                <c:pt idx="20">
                  <c:v>7.1</c:v>
                </c:pt>
                <c:pt idx="21">
                  <c:v>7.1</c:v>
                </c:pt>
                <c:pt idx="22">
                  <c:v>7.1</c:v>
                </c:pt>
                <c:pt idx="23">
                  <c:v>7.1</c:v>
                </c:pt>
                <c:pt idx="24">
                  <c:v>7.1</c:v>
                </c:pt>
                <c:pt idx="25">
                  <c:v>7.1</c:v>
                </c:pt>
                <c:pt idx="26">
                  <c:v>7.1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49-49DD-A02F-CAB6706FF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586591"/>
        <c:axId val="1771138607"/>
      </c:scatterChart>
      <c:valAx>
        <c:axId val="1651586591"/>
        <c:scaling>
          <c:orientation val="minMax"/>
          <c:max val="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1138607"/>
        <c:crosses val="autoZero"/>
        <c:crossBetween val="midCat"/>
        <c:majorUnit val="2"/>
      </c:valAx>
      <c:valAx>
        <c:axId val="1771138607"/>
        <c:scaling>
          <c:orientation val="minMax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1586591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17760279964995"/>
          <c:y val="0.43113371245261006"/>
          <c:w val="0.20808923884514438"/>
          <c:h val="0.17997739865850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del pH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 </a:t>
            </a:r>
            <a:r>
              <a:rPr lang="es-ES_tradnl" sz="14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37</a:t>
            </a:r>
            <a:r>
              <a:rPr lang="es-MX" sz="14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ºC</a:t>
            </a:r>
            <a:r>
              <a:rPr lang="es-ES_tradnl" sz="14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88900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'GRÁFICA pH (2)'!$K$5:$K$72</c:f>
                <c:numCache>
                  <c:formatCode>General</c:formatCode>
                  <c:ptCount val="68"/>
                  <c:pt idx="0">
                    <c:v>5.7735026918962373E-2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0.11547005383792526</c:v>
                  </c:pt>
                  <c:pt idx="6">
                    <c:v>0.11547005383792526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5.7735026918962373E-2</c:v>
                  </c:pt>
                  <c:pt idx="11">
                    <c:v>0.11547005383792526</c:v>
                  </c:pt>
                  <c:pt idx="12">
                    <c:v>5.7735026918962373E-2</c:v>
                  </c:pt>
                  <c:pt idx="13">
                    <c:v>5.7735026918962373E-2</c:v>
                  </c:pt>
                  <c:pt idx="14">
                    <c:v>0.11547005383792526</c:v>
                  </c:pt>
                  <c:pt idx="15">
                    <c:v>0.11547005383792526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5.7735026918962373E-2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5.7735026918962373E-2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5.7735026918962887E-2</c:v>
                  </c:pt>
                  <c:pt idx="64">
                    <c:v>0</c:v>
                  </c:pt>
                  <c:pt idx="65">
                    <c:v>0.17320508075688762</c:v>
                  </c:pt>
                  <c:pt idx="66">
                    <c:v>0.11547005383792526</c:v>
                  </c:pt>
                  <c:pt idx="67">
                    <c:v>0.17320508075688765</c:v>
                  </c:pt>
                </c:numCache>
              </c:numRef>
            </c:plus>
            <c:minus>
              <c:numRef>
                <c:f>'GRÁFICA pH (2)'!$K$5:$K$72</c:f>
                <c:numCache>
                  <c:formatCode>General</c:formatCode>
                  <c:ptCount val="68"/>
                  <c:pt idx="0">
                    <c:v>5.7735026918962373E-2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0.11547005383792526</c:v>
                  </c:pt>
                  <c:pt idx="6">
                    <c:v>0.11547005383792526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5.7735026918962373E-2</c:v>
                  </c:pt>
                  <c:pt idx="11">
                    <c:v>0.11547005383792526</c:v>
                  </c:pt>
                  <c:pt idx="12">
                    <c:v>5.7735026918962373E-2</c:v>
                  </c:pt>
                  <c:pt idx="13">
                    <c:v>5.7735026918962373E-2</c:v>
                  </c:pt>
                  <c:pt idx="14">
                    <c:v>0.11547005383792526</c:v>
                  </c:pt>
                  <c:pt idx="15">
                    <c:v>0.11547005383792526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5.7735026918962373E-2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5.7735026918962373E-2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5.7735026918962887E-2</c:v>
                  </c:pt>
                  <c:pt idx="64">
                    <c:v>0</c:v>
                  </c:pt>
                  <c:pt idx="65">
                    <c:v>0.17320508075688762</c:v>
                  </c:pt>
                  <c:pt idx="66">
                    <c:v>0.11547005383792526</c:v>
                  </c:pt>
                  <c:pt idx="67">
                    <c:v>0.17320508075688765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pH (2)'!$C$5:$C$72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157</c:v>
                </c:pt>
              </c:numCache>
            </c:numRef>
          </c:xVal>
          <c:yVal>
            <c:numRef>
              <c:f>'GRÁFICA pH (2)'!$J$5:$J$72</c:f>
              <c:numCache>
                <c:formatCode>General</c:formatCode>
                <c:ptCount val="68"/>
                <c:pt idx="0">
                  <c:v>7.05</c:v>
                </c:pt>
                <c:pt idx="1">
                  <c:v>7.2</c:v>
                </c:pt>
                <c:pt idx="2">
                  <c:v>7.1</c:v>
                </c:pt>
                <c:pt idx="3">
                  <c:v>7.1</c:v>
                </c:pt>
                <c:pt idx="4">
                  <c:v>7.1</c:v>
                </c:pt>
                <c:pt idx="5">
                  <c:v>7.1</c:v>
                </c:pt>
                <c:pt idx="6">
                  <c:v>7.1</c:v>
                </c:pt>
                <c:pt idx="7">
                  <c:v>7</c:v>
                </c:pt>
                <c:pt idx="8">
                  <c:v>7.1</c:v>
                </c:pt>
                <c:pt idx="9">
                  <c:v>7.1</c:v>
                </c:pt>
                <c:pt idx="10">
                  <c:v>7.05</c:v>
                </c:pt>
                <c:pt idx="11">
                  <c:v>7.1</c:v>
                </c:pt>
                <c:pt idx="12">
                  <c:v>7.05</c:v>
                </c:pt>
                <c:pt idx="13">
                  <c:v>7.05</c:v>
                </c:pt>
                <c:pt idx="14">
                  <c:v>7.1</c:v>
                </c:pt>
                <c:pt idx="15">
                  <c:v>7.1</c:v>
                </c:pt>
                <c:pt idx="16">
                  <c:v>7</c:v>
                </c:pt>
                <c:pt idx="17">
                  <c:v>7.1</c:v>
                </c:pt>
                <c:pt idx="18">
                  <c:v>7.2</c:v>
                </c:pt>
                <c:pt idx="19">
                  <c:v>7.0500000000000007</c:v>
                </c:pt>
                <c:pt idx="20">
                  <c:v>7.1</c:v>
                </c:pt>
                <c:pt idx="21">
                  <c:v>7.1</c:v>
                </c:pt>
                <c:pt idx="22">
                  <c:v>7.1</c:v>
                </c:pt>
                <c:pt idx="23">
                  <c:v>7.1</c:v>
                </c:pt>
                <c:pt idx="24">
                  <c:v>7.1</c:v>
                </c:pt>
                <c:pt idx="25">
                  <c:v>7.1</c:v>
                </c:pt>
                <c:pt idx="26">
                  <c:v>7.1</c:v>
                </c:pt>
                <c:pt idx="27">
                  <c:v>7.1</c:v>
                </c:pt>
                <c:pt idx="28">
                  <c:v>7.1</c:v>
                </c:pt>
                <c:pt idx="29">
                  <c:v>7.1</c:v>
                </c:pt>
                <c:pt idx="30">
                  <c:v>7.1</c:v>
                </c:pt>
                <c:pt idx="31">
                  <c:v>7.1</c:v>
                </c:pt>
                <c:pt idx="32">
                  <c:v>7.1</c:v>
                </c:pt>
                <c:pt idx="33">
                  <c:v>7.1</c:v>
                </c:pt>
                <c:pt idx="34">
                  <c:v>7.1</c:v>
                </c:pt>
                <c:pt idx="35">
                  <c:v>7.1</c:v>
                </c:pt>
                <c:pt idx="36">
                  <c:v>7.1</c:v>
                </c:pt>
                <c:pt idx="37">
                  <c:v>7.1</c:v>
                </c:pt>
                <c:pt idx="38">
                  <c:v>7.1</c:v>
                </c:pt>
                <c:pt idx="39">
                  <c:v>7.1</c:v>
                </c:pt>
                <c:pt idx="40">
                  <c:v>7.1</c:v>
                </c:pt>
                <c:pt idx="41">
                  <c:v>7.1</c:v>
                </c:pt>
                <c:pt idx="42">
                  <c:v>7.1</c:v>
                </c:pt>
                <c:pt idx="43">
                  <c:v>7.1</c:v>
                </c:pt>
                <c:pt idx="44">
                  <c:v>7.1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7.1</c:v>
                </c:pt>
                <c:pt idx="49">
                  <c:v>7</c:v>
                </c:pt>
                <c:pt idx="50">
                  <c:v>7.05</c:v>
                </c:pt>
                <c:pt idx="51">
                  <c:v>7</c:v>
                </c:pt>
                <c:pt idx="52">
                  <c:v>7.1</c:v>
                </c:pt>
                <c:pt idx="53">
                  <c:v>7.1</c:v>
                </c:pt>
                <c:pt idx="54">
                  <c:v>7</c:v>
                </c:pt>
                <c:pt idx="55">
                  <c:v>7.1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6.8</c:v>
                </c:pt>
                <c:pt idx="63">
                  <c:v>6.65</c:v>
                </c:pt>
                <c:pt idx="64">
                  <c:v>6.5</c:v>
                </c:pt>
                <c:pt idx="65">
                  <c:v>6.65</c:v>
                </c:pt>
                <c:pt idx="66">
                  <c:v>6.8</c:v>
                </c:pt>
                <c:pt idx="67">
                  <c:v>6.85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08-49DC-A248-32F636A9F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318271"/>
        <c:axId val="710318687"/>
      </c:scatterChart>
      <c:valAx>
        <c:axId val="710318271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Tiempo (Días)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710318687"/>
        <c:crosses val="autoZero"/>
        <c:crossBetween val="midCat"/>
        <c:majorUnit val="8"/>
      </c:valAx>
      <c:valAx>
        <c:axId val="710318687"/>
        <c:scaling>
          <c:orientation val="minMax"/>
          <c:min val="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710318271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1066800</xdr:colOff>
      <xdr:row>27</xdr:row>
      <xdr:rowOff>172720</xdr:rowOff>
    </xdr:from>
    <xdr:to>
      <xdr:col>12</xdr:col>
      <xdr:colOff>974386</xdr:colOff>
      <xdr:row>51</xdr:row>
      <xdr:rowOff>97979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104140</xdr:colOff>
      <xdr:row>27</xdr:row>
      <xdr:rowOff>165100</xdr:rowOff>
    </xdr:from>
    <xdr:to>
      <xdr:col>4</xdr:col>
      <xdr:colOff>586739</xdr:colOff>
      <xdr:row>49</xdr:row>
      <xdr:rowOff>207010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502920</xdr:colOff>
      <xdr:row>26</xdr:row>
      <xdr:rowOff>99060</xdr:rowOff>
    </xdr:from>
    <xdr:to>
      <xdr:col>22</xdr:col>
      <xdr:colOff>601980</xdr:colOff>
      <xdr:row>53</xdr:row>
      <xdr:rowOff>11430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4</xdr:col>
      <xdr:colOff>601337</xdr:colOff>
      <xdr:row>72</xdr:row>
      <xdr:rowOff>88135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381000</xdr:colOff>
      <xdr:row>53</xdr:row>
      <xdr:rowOff>29307</xdr:rowOff>
    </xdr:from>
    <xdr:to>
      <xdr:col>16</xdr:col>
      <xdr:colOff>113945</xdr:colOff>
      <xdr:row>92</xdr:row>
      <xdr:rowOff>16608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59</xdr:row>
      <xdr:rowOff>0</xdr:rowOff>
    </xdr:from>
    <xdr:to>
      <xdr:col>26</xdr:col>
      <xdr:colOff>233981</xdr:colOff>
      <xdr:row>81</xdr:row>
      <xdr:rowOff>157492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350025</xdr:colOff>
      <xdr:row>129</xdr:row>
      <xdr:rowOff>162395</xdr:rowOff>
    </xdr:from>
    <xdr:to>
      <xdr:col>48</xdr:col>
      <xdr:colOff>519840</xdr:colOff>
      <xdr:row>154</xdr:row>
      <xdr:rowOff>156953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1862669</xdr:colOff>
      <xdr:row>161</xdr:row>
      <xdr:rowOff>64000</xdr:rowOff>
    </xdr:from>
    <xdr:to>
      <xdr:col>7</xdr:col>
      <xdr:colOff>2264836</xdr:colOff>
      <xdr:row>192</xdr:row>
      <xdr:rowOff>84670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966434</xdr:colOff>
      <xdr:row>166</xdr:row>
      <xdr:rowOff>159113</xdr:rowOff>
    </xdr:from>
    <xdr:to>
      <xdr:col>21</xdr:col>
      <xdr:colOff>202158</xdr:colOff>
      <xdr:row>206</xdr:row>
      <xdr:rowOff>6602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569347</xdr:colOff>
      <xdr:row>22</xdr:row>
      <xdr:rowOff>95592</xdr:rowOff>
    </xdr:from>
    <xdr:to>
      <xdr:col>59</xdr:col>
      <xdr:colOff>474663</xdr:colOff>
      <xdr:row>53</xdr:row>
      <xdr:rowOff>94618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949497</xdr:colOff>
      <xdr:row>93</xdr:row>
      <xdr:rowOff>4622</xdr:rowOff>
    </xdr:from>
    <xdr:to>
      <xdr:col>24</xdr:col>
      <xdr:colOff>1546879</xdr:colOff>
      <xdr:row>128</xdr:row>
      <xdr:rowOff>145887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480433</xdr:colOff>
      <xdr:row>2</xdr:row>
      <xdr:rowOff>84667</xdr:rowOff>
    </xdr:from>
    <xdr:to>
      <xdr:col>59</xdr:col>
      <xdr:colOff>314477</xdr:colOff>
      <xdr:row>33</xdr:row>
      <xdr:rowOff>145143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1319541</xdr:colOff>
      <xdr:row>109</xdr:row>
      <xdr:rowOff>136112</xdr:rowOff>
    </xdr:from>
    <xdr:to>
      <xdr:col>29</xdr:col>
      <xdr:colOff>2851957</xdr:colOff>
      <xdr:row>145</xdr:row>
      <xdr:rowOff>95951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CED8656-3C60-4F2C-81ED-0692AC8FA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0.5502</cdr:x>
      <cdr:y>0.11179</cdr:y>
    </cdr:from>
    <cdr:to>
      <cdr:x>0.55085</cdr:x>
      <cdr:y>0.89015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E4CB30E3-5D0D-49D2-9AE8-0879126017E0}"/>
            </a:ext>
          </a:extLst>
        </cdr:cNvPr>
        <cdr:cNvCxnSpPr/>
      </cdr:nvCxnSpPr>
      <cdr:spPr>
        <a:xfrm xmlns:a="http://schemas.openxmlformats.org/drawingml/2006/main" flipV="1">
          <a:off x="7616823" y="731520"/>
          <a:ext cx="9025" cy="5093168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0.12243</cdr:x>
      <cdr:y>0.22165</cdr:y>
    </cdr:from>
    <cdr:to>
      <cdr:x>0.12308</cdr:x>
      <cdr:y>1</cdr:y>
    </cdr:to>
    <cdr:cxnSp macro="">
      <cdr:nvCxnSpPr>
        <cdr:cNvPr id="4" name="Conector recto 3">
          <a:extLst xmlns:a="http://schemas.openxmlformats.org/drawingml/2006/main">
            <a:ext uri="{FF2B5EF4-FFF2-40B4-BE49-F238E27FC236}">
              <a16:creationId xmlns:a16="http://schemas.microsoft.com/office/drawing/2014/main" id="{ED413386-B4A3-4BBE-B906-8F3421E32511}"/>
            </a:ext>
          </a:extLst>
        </cdr:cNvPr>
        <cdr:cNvCxnSpPr/>
      </cdr:nvCxnSpPr>
      <cdr:spPr>
        <a:xfrm xmlns:a="http://schemas.openxmlformats.org/drawingml/2006/main" flipV="1">
          <a:off x="2059632" y="1438789"/>
          <a:ext cx="10935" cy="5052476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0.75445</cdr:x>
      <cdr:y>0.11956</cdr:y>
    </cdr:from>
    <cdr:to>
      <cdr:x>0.75511</cdr:x>
      <cdr:y>0.89791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A0192F22-B673-40A5-82A9-5B7C5AD15922}"/>
            </a:ext>
          </a:extLst>
        </cdr:cNvPr>
        <cdr:cNvCxnSpPr/>
      </cdr:nvCxnSpPr>
      <cdr:spPr>
        <a:xfrm xmlns:a="http://schemas.openxmlformats.org/drawingml/2006/main" flipV="1">
          <a:off x="10444422" y="782324"/>
          <a:ext cx="9137" cy="5093146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0.22369</cdr:x>
      <cdr:y>0.36221</cdr:y>
    </cdr:from>
    <cdr:to>
      <cdr:x>0.41757</cdr:x>
      <cdr:y>0.43251</cdr:y>
    </cdr:to>
    <cdr:sp macro="" textlink="">
      <cdr:nvSpPr>
        <cdr:cNvPr id="6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A6B75D3A-4C24-467D-9C27-9D7318A58175}"/>
            </a:ext>
          </a:extLst>
        </cdr:cNvPr>
        <cdr:cNvSpPr/>
      </cdr:nvSpPr>
      <cdr:spPr>
        <a:xfrm xmlns:a="http://schemas.openxmlformats.org/drawingml/2006/main">
          <a:off x="3096646" y="2370117"/>
          <a:ext cx="2684126" cy="45999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baja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0.5796</cdr:x>
      <cdr:y>0.37268</cdr:y>
    </cdr:from>
    <cdr:to>
      <cdr:x>0.70947</cdr:x>
      <cdr:y>0.45209</cdr:y>
    </cdr:to>
    <cdr:sp macro="" textlink="">
      <cdr:nvSpPr>
        <cdr:cNvPr id="7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E5B52037-2D80-4E0C-8F10-9FFA4A5499B3}"/>
            </a:ext>
          </a:extLst>
        </cdr:cNvPr>
        <cdr:cNvSpPr/>
      </cdr:nvSpPr>
      <cdr:spPr>
        <a:xfrm xmlns:a="http://schemas.openxmlformats.org/drawingml/2006/main">
          <a:off x="8023868" y="2438640"/>
          <a:ext cx="1797861" cy="51961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media</a:t>
          </a:r>
          <a:r>
            <a:rPr lang="en-US" sz="1000" b="1" baseline="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2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0.80109</cdr:x>
      <cdr:y>0.36279</cdr:y>
    </cdr:from>
    <cdr:to>
      <cdr:x>0.93195</cdr:x>
      <cdr:y>0.4422</cdr:y>
    </cdr:to>
    <cdr:sp macro="" textlink="">
      <cdr:nvSpPr>
        <cdr:cNvPr id="8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DA50871E-9F4F-4EF2-9B22-601E1AB7E0C6}"/>
            </a:ext>
          </a:extLst>
        </cdr:cNvPr>
        <cdr:cNvSpPr/>
      </cdr:nvSpPr>
      <cdr:spPr>
        <a:xfrm xmlns:a="http://schemas.openxmlformats.org/drawingml/2006/main">
          <a:off x="11090125" y="2373937"/>
          <a:ext cx="1811624" cy="51961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alta</a:t>
          </a:r>
          <a:r>
            <a:rPr lang="en-US" sz="1000" b="1" baseline="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0.5502</cdr:x>
      <cdr:y>0.11179</cdr:y>
    </cdr:from>
    <cdr:to>
      <cdr:x>0.55085</cdr:x>
      <cdr:y>0.89015</cdr:y>
    </cdr:to>
    <cdr:cxnSp macro="">
      <cdr:nvCxnSpPr>
        <cdr:cNvPr id="3" name="Conector recto 1">
          <a:extLst xmlns:a="http://schemas.openxmlformats.org/drawingml/2006/main">
            <a:ext uri="{FF2B5EF4-FFF2-40B4-BE49-F238E27FC236}">
              <a16:creationId xmlns:a16="http://schemas.microsoft.com/office/drawing/2014/main" id="{E4CB30E3-5D0D-49D2-9AE8-0879126017E0}"/>
            </a:ext>
          </a:extLst>
        </cdr:cNvPr>
        <cdr:cNvCxnSpPr/>
      </cdr:nvCxnSpPr>
      <cdr:spPr>
        <a:xfrm xmlns:a="http://schemas.openxmlformats.org/drawingml/2006/main" flipV="1">
          <a:off x="7616823" y="731520"/>
          <a:ext cx="9025" cy="5093168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0.11596</cdr:x>
      <cdr:y>0.1149</cdr:y>
    </cdr:from>
    <cdr:to>
      <cdr:x>0.11661</cdr:x>
      <cdr:y>0.89325</cdr:y>
    </cdr:to>
    <cdr:cxnSp macro="">
      <cdr:nvCxnSpPr>
        <cdr:cNvPr id="9" name="Conector recto 3">
          <a:extLst xmlns:a="http://schemas.openxmlformats.org/drawingml/2006/main">
            <a:ext uri="{FF2B5EF4-FFF2-40B4-BE49-F238E27FC236}">
              <a16:creationId xmlns:a16="http://schemas.microsoft.com/office/drawing/2014/main" id="{ED413386-B4A3-4BBE-B906-8F3421E32511}"/>
            </a:ext>
          </a:extLst>
        </cdr:cNvPr>
        <cdr:cNvCxnSpPr/>
      </cdr:nvCxnSpPr>
      <cdr:spPr>
        <a:xfrm xmlns:a="http://schemas.openxmlformats.org/drawingml/2006/main" flipV="1">
          <a:off x="1605280" y="751840"/>
          <a:ext cx="9025" cy="5093168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0.11457</cdr:y>
    </cdr:from>
    <cdr:to>
      <cdr:x>0.75442</cdr:x>
      <cdr:y>0.89292</cdr:y>
    </cdr:to>
    <cdr:cxnSp macro="">
      <cdr:nvCxnSpPr>
        <cdr:cNvPr id="10" name="Conector recto 4">
          <a:extLst xmlns:a="http://schemas.openxmlformats.org/drawingml/2006/main">
            <a:ext uri="{FF2B5EF4-FFF2-40B4-BE49-F238E27FC236}">
              <a16:creationId xmlns:a16="http://schemas.microsoft.com/office/drawing/2014/main" id="{A0192F22-B673-40A5-82A9-5B7C5AD15922}"/>
            </a:ext>
          </a:extLst>
        </cdr:cNvPr>
        <cdr:cNvCxnSpPr/>
      </cdr:nvCxnSpPr>
      <cdr:spPr>
        <a:xfrm xmlns:a="http://schemas.openxmlformats.org/drawingml/2006/main" flipV="1">
          <a:off x="10405569" y="754001"/>
          <a:ext cx="9111" cy="5122597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0.22369</cdr:x>
      <cdr:y>0.36221</cdr:y>
    </cdr:from>
    <cdr:to>
      <cdr:x>0.41757</cdr:x>
      <cdr:y>0.43251</cdr:y>
    </cdr:to>
    <cdr:sp macro="" textlink="">
      <cdr:nvSpPr>
        <cdr:cNvPr id="11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A6B75D3A-4C24-467D-9C27-9D7318A58175}"/>
            </a:ext>
          </a:extLst>
        </cdr:cNvPr>
        <cdr:cNvSpPr/>
      </cdr:nvSpPr>
      <cdr:spPr>
        <a:xfrm xmlns:a="http://schemas.openxmlformats.org/drawingml/2006/main">
          <a:off x="3096646" y="2370117"/>
          <a:ext cx="2684126" cy="45999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baja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0.5796</cdr:x>
      <cdr:y>0.37268</cdr:y>
    </cdr:from>
    <cdr:to>
      <cdr:x>0.70947</cdr:x>
      <cdr:y>0.45209</cdr:y>
    </cdr:to>
    <cdr:sp macro="" textlink="">
      <cdr:nvSpPr>
        <cdr:cNvPr id="12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E5B52037-2D80-4E0C-8F10-9FFA4A5499B3}"/>
            </a:ext>
          </a:extLst>
        </cdr:cNvPr>
        <cdr:cNvSpPr/>
      </cdr:nvSpPr>
      <cdr:spPr>
        <a:xfrm xmlns:a="http://schemas.openxmlformats.org/drawingml/2006/main">
          <a:off x="8023868" y="2438640"/>
          <a:ext cx="1797861" cy="51961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media</a:t>
          </a:r>
          <a:r>
            <a:rPr lang="en-US" sz="1000" b="1" baseline="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2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0.80109</cdr:x>
      <cdr:y>0.36279</cdr:y>
    </cdr:from>
    <cdr:to>
      <cdr:x>0.93195</cdr:x>
      <cdr:y>0.4422</cdr:y>
    </cdr:to>
    <cdr:sp macro="" textlink="">
      <cdr:nvSpPr>
        <cdr:cNvPr id="13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DA50871E-9F4F-4EF2-9B22-601E1AB7E0C6}"/>
            </a:ext>
          </a:extLst>
        </cdr:cNvPr>
        <cdr:cNvSpPr/>
      </cdr:nvSpPr>
      <cdr:spPr>
        <a:xfrm xmlns:a="http://schemas.openxmlformats.org/drawingml/2006/main">
          <a:off x="11090125" y="2373937"/>
          <a:ext cx="1811624" cy="51961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alta</a:t>
          </a:r>
          <a:r>
            <a:rPr lang="en-US" sz="1000" b="1" baseline="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0.5502</cdr:x>
      <cdr:y>0.11179</cdr:y>
    </cdr:from>
    <cdr:to>
      <cdr:x>0.55085</cdr:x>
      <cdr:y>0.89015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E4CB30E3-5D0D-49D2-9AE8-0879126017E0}"/>
            </a:ext>
          </a:extLst>
        </cdr:cNvPr>
        <cdr:cNvCxnSpPr/>
      </cdr:nvCxnSpPr>
      <cdr:spPr>
        <a:xfrm xmlns:a="http://schemas.openxmlformats.org/drawingml/2006/main" flipV="1">
          <a:off x="7616823" y="731520"/>
          <a:ext cx="9025" cy="5093168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0.11596</cdr:x>
      <cdr:y>0.1149</cdr:y>
    </cdr:from>
    <cdr:to>
      <cdr:x>0.11661</cdr:x>
      <cdr:y>0.89325</cdr:y>
    </cdr:to>
    <cdr:cxnSp macro="">
      <cdr:nvCxnSpPr>
        <cdr:cNvPr id="4" name="Conector recto 3">
          <a:extLst xmlns:a="http://schemas.openxmlformats.org/drawingml/2006/main">
            <a:ext uri="{FF2B5EF4-FFF2-40B4-BE49-F238E27FC236}">
              <a16:creationId xmlns:a16="http://schemas.microsoft.com/office/drawing/2014/main" id="{ED413386-B4A3-4BBE-B906-8F3421E32511}"/>
            </a:ext>
          </a:extLst>
        </cdr:cNvPr>
        <cdr:cNvCxnSpPr/>
      </cdr:nvCxnSpPr>
      <cdr:spPr>
        <a:xfrm xmlns:a="http://schemas.openxmlformats.org/drawingml/2006/main" flipV="1">
          <a:off x="1605280" y="751840"/>
          <a:ext cx="9025" cy="5093168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0.11457</cdr:y>
    </cdr:from>
    <cdr:to>
      <cdr:x>0.75442</cdr:x>
      <cdr:y>0.89292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A0192F22-B673-40A5-82A9-5B7C5AD15922}"/>
            </a:ext>
          </a:extLst>
        </cdr:cNvPr>
        <cdr:cNvCxnSpPr/>
      </cdr:nvCxnSpPr>
      <cdr:spPr>
        <a:xfrm xmlns:a="http://schemas.openxmlformats.org/drawingml/2006/main" flipV="1">
          <a:off x="10405569" y="754001"/>
          <a:ext cx="9111" cy="5122597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0.22369</cdr:x>
      <cdr:y>0.36221</cdr:y>
    </cdr:from>
    <cdr:to>
      <cdr:x>0.41757</cdr:x>
      <cdr:y>0.43251</cdr:y>
    </cdr:to>
    <cdr:sp macro="" textlink="">
      <cdr:nvSpPr>
        <cdr:cNvPr id="6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A6B75D3A-4C24-467D-9C27-9D7318A58175}"/>
            </a:ext>
          </a:extLst>
        </cdr:cNvPr>
        <cdr:cNvSpPr/>
      </cdr:nvSpPr>
      <cdr:spPr>
        <a:xfrm xmlns:a="http://schemas.openxmlformats.org/drawingml/2006/main">
          <a:off x="3096646" y="2370117"/>
          <a:ext cx="2684126" cy="45999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baja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0.5796</cdr:x>
      <cdr:y>0.37268</cdr:y>
    </cdr:from>
    <cdr:to>
      <cdr:x>0.70947</cdr:x>
      <cdr:y>0.45209</cdr:y>
    </cdr:to>
    <cdr:sp macro="" textlink="">
      <cdr:nvSpPr>
        <cdr:cNvPr id="7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E5B52037-2D80-4E0C-8F10-9FFA4A5499B3}"/>
            </a:ext>
          </a:extLst>
        </cdr:cNvPr>
        <cdr:cNvSpPr/>
      </cdr:nvSpPr>
      <cdr:spPr>
        <a:xfrm xmlns:a="http://schemas.openxmlformats.org/drawingml/2006/main">
          <a:off x="8023868" y="2438640"/>
          <a:ext cx="1797861" cy="51961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media</a:t>
          </a:r>
          <a:r>
            <a:rPr lang="en-US" sz="1000" b="1" baseline="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2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0.80109</cdr:x>
      <cdr:y>0.36279</cdr:y>
    </cdr:from>
    <cdr:to>
      <cdr:x>0.93195</cdr:x>
      <cdr:y>0.4422</cdr:y>
    </cdr:to>
    <cdr:sp macro="" textlink="">
      <cdr:nvSpPr>
        <cdr:cNvPr id="8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DA50871E-9F4F-4EF2-9B22-601E1AB7E0C6}"/>
            </a:ext>
          </a:extLst>
        </cdr:cNvPr>
        <cdr:cNvSpPr/>
      </cdr:nvSpPr>
      <cdr:spPr>
        <a:xfrm xmlns:a="http://schemas.openxmlformats.org/drawingml/2006/main">
          <a:off x="11090125" y="2373937"/>
          <a:ext cx="1811624" cy="51961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alta</a:t>
          </a:r>
          <a:r>
            <a:rPr lang="en-US" sz="1000" b="1" baseline="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250913</xdr:colOff>
      <xdr:row>14</xdr:row>
      <xdr:rowOff>54539</xdr:rowOff>
    </xdr:from>
    <xdr:to>
      <xdr:col>18</xdr:col>
      <xdr:colOff>478227</xdr:colOff>
      <xdr:row>49</xdr:row>
      <xdr:rowOff>446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353122</xdr:colOff>
      <xdr:row>14</xdr:row>
      <xdr:rowOff>130098</xdr:rowOff>
    </xdr:from>
    <xdr:to>
      <xdr:col>33</xdr:col>
      <xdr:colOff>92927</xdr:colOff>
      <xdr:row>48</xdr:row>
      <xdr:rowOff>148682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361627</xdr:colOff>
      <xdr:row>51</xdr:row>
      <xdr:rowOff>129153</xdr:rowOff>
    </xdr:from>
    <xdr:to>
      <xdr:col>19</xdr:col>
      <xdr:colOff>560716</xdr:colOff>
      <xdr:row>86</xdr:row>
      <xdr:rowOff>78874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242455</xdr:colOff>
      <xdr:row>51</xdr:row>
      <xdr:rowOff>69272</xdr:rowOff>
    </xdr:from>
    <xdr:to>
      <xdr:col>33</xdr:col>
      <xdr:colOff>744682</xdr:colOff>
      <xdr:row>86</xdr:row>
      <xdr:rowOff>-1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605346</xdr:colOff>
      <xdr:row>101</xdr:row>
      <xdr:rowOff>74883</xdr:rowOff>
    </xdr:from>
    <xdr:to>
      <xdr:col>21</xdr:col>
      <xdr:colOff>2096</xdr:colOff>
      <xdr:row>136</xdr:row>
      <xdr:rowOff>90757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353996</xdr:colOff>
      <xdr:row>4</xdr:row>
      <xdr:rowOff>156352</xdr:rowOff>
    </xdr:from>
    <xdr:to>
      <xdr:col>50</xdr:col>
      <xdr:colOff>764632</xdr:colOff>
      <xdr:row>49</xdr:row>
      <xdr:rowOff>59330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76167</xdr:colOff>
      <xdr:row>24</xdr:row>
      <xdr:rowOff>113280</xdr:rowOff>
    </xdr:from>
    <xdr:to>
      <xdr:col>70</xdr:col>
      <xdr:colOff>321629</xdr:colOff>
      <xdr:row>70</xdr:row>
      <xdr:rowOff>136372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0.18675</cdr:x>
      <cdr:y>0.17073</cdr:y>
    </cdr:from>
    <cdr:to>
      <cdr:x>0.1869</cdr:x>
      <cdr:y>0.89488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5299C774-ADE0-4B4B-816A-156CF29A7E93}"/>
            </a:ext>
          </a:extLst>
        </cdr:cNvPr>
        <cdr:cNvCxnSpPr/>
      </cdr:nvCxnSpPr>
      <cdr:spPr>
        <a:xfrm xmlns:a="http://schemas.openxmlformats.org/drawingml/2006/main" flipV="1">
          <a:off x="2102339" y="1321269"/>
          <a:ext cx="1672" cy="5603938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0.77381</cdr:x>
      <cdr:y>0.17888</cdr:y>
    </cdr:from>
    <cdr:to>
      <cdr:x>0.77396</cdr:x>
      <cdr:y>0.90302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C1CDE1C6-0033-49AC-9791-B52B9F3F7669}"/>
            </a:ext>
          </a:extLst>
        </cdr:cNvPr>
        <cdr:cNvCxnSpPr/>
      </cdr:nvCxnSpPr>
      <cdr:spPr>
        <a:xfrm xmlns:a="http://schemas.openxmlformats.org/drawingml/2006/main" flipV="1">
          <a:off x="8711223" y="1384300"/>
          <a:ext cx="1672" cy="5603938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0.58507</cdr:x>
      <cdr:y>0.17888</cdr:y>
    </cdr:from>
    <cdr:to>
      <cdr:x>0.58521</cdr:x>
      <cdr:y>0.90302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C1CDE1C6-0033-49AC-9791-B52B9F3F7669}"/>
            </a:ext>
          </a:extLst>
        </cdr:cNvPr>
        <cdr:cNvCxnSpPr/>
      </cdr:nvCxnSpPr>
      <cdr:spPr>
        <a:xfrm xmlns:a="http://schemas.openxmlformats.org/drawingml/2006/main" flipV="1">
          <a:off x="6586415" y="1384300"/>
          <a:ext cx="1672" cy="5603938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0.0709</cdr:x>
      <cdr:y>0.54245</cdr:y>
    </cdr:from>
    <cdr:to>
      <cdr:x>0.17074</cdr:x>
      <cdr:y>0.68285</cdr:y>
    </cdr:to>
    <cdr:sp macro="" textlink="">
      <cdr:nvSpPr>
        <cdr:cNvPr id="7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B5840677-AC84-4AD7-B4CD-25F09BEAA7FD}"/>
            </a:ext>
          </a:extLst>
        </cdr:cNvPr>
        <cdr:cNvSpPr/>
      </cdr:nvSpPr>
      <cdr:spPr>
        <a:xfrm xmlns:a="http://schemas.openxmlformats.org/drawingml/2006/main">
          <a:off x="798146" y="4197839"/>
          <a:ext cx="1124024" cy="108652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Proceso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adaptación </a:t>
          </a:r>
          <a:r>
            <a:rPr lang="en-US" sz="1000" b="1" dirty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0.5 </a:t>
          </a:r>
          <a:r>
            <a:rPr lang="en-US" sz="1000" b="1" dirty="0" err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/L/D</a:t>
          </a:r>
          <a:endParaRPr lang="es-MX" sz="1000" dirty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0.25444</cdr:x>
      <cdr:y>0.57653</cdr:y>
    </cdr:from>
    <cdr:to>
      <cdr:x>0.47425</cdr:x>
      <cdr:y>0.63365</cdr:y>
    </cdr:to>
    <cdr:sp macro="" textlink="">
      <cdr:nvSpPr>
        <cdr:cNvPr id="8" name="Rectángulo redondeado 12">
          <a:extLst xmlns:a="http://schemas.openxmlformats.org/drawingml/2006/main">
            <a:ext uri="{FF2B5EF4-FFF2-40B4-BE49-F238E27FC236}">
              <a16:creationId xmlns:a16="http://schemas.microsoft.com/office/drawing/2014/main" id="{7D1E4FE0-C062-4E03-9C24-074F9D61F66C}"/>
            </a:ext>
          </a:extLst>
        </cdr:cNvPr>
        <cdr:cNvSpPr/>
      </cdr:nvSpPr>
      <cdr:spPr>
        <a:xfrm xmlns:a="http://schemas.openxmlformats.org/drawingml/2006/main">
          <a:off x="2864338" y="4461607"/>
          <a:ext cx="2474513" cy="44202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baja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0.5776</cdr:x>
      <cdr:y>0.42886</cdr:y>
    </cdr:from>
    <cdr:to>
      <cdr:x>0.7974</cdr:x>
      <cdr:y>0.48598</cdr:y>
    </cdr:to>
    <cdr:sp macro="" textlink="">
      <cdr:nvSpPr>
        <cdr:cNvPr id="9" name="Rectángulo redondeado 11">
          <a:extLst xmlns:a="http://schemas.openxmlformats.org/drawingml/2006/main">
            <a:ext uri="{FF2B5EF4-FFF2-40B4-BE49-F238E27FC236}">
              <a16:creationId xmlns:a16="http://schemas.microsoft.com/office/drawing/2014/main" id="{58B364FA-3143-4ABF-81BD-FCA9480F2E0E}"/>
            </a:ext>
          </a:extLst>
        </cdr:cNvPr>
        <cdr:cNvSpPr/>
      </cdr:nvSpPr>
      <cdr:spPr>
        <a:xfrm xmlns:a="http://schemas.openxmlformats.org/drawingml/2006/main">
          <a:off x="7996827" y="3501819"/>
          <a:ext cx="3043063" cy="46639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media</a:t>
          </a: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0.81292</cdr:x>
      <cdr:y>0.74133</cdr:y>
    </cdr:from>
    <cdr:to>
      <cdr:x>0.96415</cdr:x>
      <cdr:y>0.79843</cdr:y>
    </cdr:to>
    <cdr:sp macro="" textlink="">
      <cdr:nvSpPr>
        <cdr:cNvPr id="10" name="Rectángulo redondeado 10">
          <a:extLst xmlns:a="http://schemas.openxmlformats.org/drawingml/2006/main">
            <a:ext uri="{FF2B5EF4-FFF2-40B4-BE49-F238E27FC236}">
              <a16:creationId xmlns:a16="http://schemas.microsoft.com/office/drawing/2014/main" id="{5E87AA89-7662-49AB-A6BE-586A428FC1D3}"/>
            </a:ext>
          </a:extLst>
        </cdr:cNvPr>
        <cdr:cNvSpPr/>
      </cdr:nvSpPr>
      <cdr:spPr>
        <a:xfrm xmlns:a="http://schemas.openxmlformats.org/drawingml/2006/main">
          <a:off x="11254862" y="6053228"/>
          <a:ext cx="2093707" cy="466309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alta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0.21095</cdr:x>
      <cdr:y>0.33517</cdr:y>
    </cdr:from>
    <cdr:to>
      <cdr:x>0.21201</cdr:x>
      <cdr:y>0.85564</cdr:y>
    </cdr:to>
    <cdr:cxnSp macro="">
      <cdr:nvCxnSpPr>
        <cdr:cNvPr id="16" name="Conector recto 15">
          <a:extLst xmlns:a="http://schemas.openxmlformats.org/drawingml/2006/main">
            <a:ext uri="{FF2B5EF4-FFF2-40B4-BE49-F238E27FC236}">
              <a16:creationId xmlns:a16="http://schemas.microsoft.com/office/drawing/2014/main" id="{4E3C616B-9E24-4DF3-B784-6C79CFF1FBED}"/>
            </a:ext>
          </a:extLst>
        </cdr:cNvPr>
        <cdr:cNvCxnSpPr/>
      </cdr:nvCxnSpPr>
      <cdr:spPr>
        <a:xfrm xmlns:a="http://schemas.openxmlformats.org/drawingml/2006/main" flipV="1">
          <a:off x="3073349" y="2735036"/>
          <a:ext cx="15472" cy="4247161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0.62389</cdr:x>
      <cdr:y>0.27014</cdr:y>
    </cdr:from>
    <cdr:to>
      <cdr:x>0.6247</cdr:x>
      <cdr:y>0.85564</cdr:y>
    </cdr:to>
    <cdr:cxnSp macro="">
      <cdr:nvCxnSpPr>
        <cdr:cNvPr id="17" name="Conector recto 16">
          <a:extLst xmlns:a="http://schemas.openxmlformats.org/drawingml/2006/main">
            <a:ext uri="{FF2B5EF4-FFF2-40B4-BE49-F238E27FC236}">
              <a16:creationId xmlns:a16="http://schemas.microsoft.com/office/drawing/2014/main" id="{4E3C616B-9E24-4DF3-B784-6C79CFF1FBED}"/>
            </a:ext>
          </a:extLst>
        </cdr:cNvPr>
        <cdr:cNvCxnSpPr/>
      </cdr:nvCxnSpPr>
      <cdr:spPr>
        <a:xfrm xmlns:a="http://schemas.openxmlformats.org/drawingml/2006/main" flipH="1" flipV="1">
          <a:off x="9089571" y="2204357"/>
          <a:ext cx="11743" cy="4777840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0.85259</cdr:x>
      <cdr:y>0.22011</cdr:y>
    </cdr:from>
    <cdr:to>
      <cdr:x>0.85552</cdr:x>
      <cdr:y>0.85398</cdr:y>
    </cdr:to>
    <cdr:cxnSp macro="">
      <cdr:nvCxnSpPr>
        <cdr:cNvPr id="18" name="Conector recto 17">
          <a:extLst xmlns:a="http://schemas.openxmlformats.org/drawingml/2006/main">
            <a:ext uri="{FF2B5EF4-FFF2-40B4-BE49-F238E27FC236}">
              <a16:creationId xmlns:a16="http://schemas.microsoft.com/office/drawing/2014/main" id="{4E3C616B-9E24-4DF3-B784-6C79CFF1FBED}"/>
            </a:ext>
          </a:extLst>
        </cdr:cNvPr>
        <cdr:cNvCxnSpPr/>
      </cdr:nvCxnSpPr>
      <cdr:spPr>
        <a:xfrm xmlns:a="http://schemas.openxmlformats.org/drawingml/2006/main" flipV="1">
          <a:off x="12421456" y="1796143"/>
          <a:ext cx="42687" cy="5172447"/>
        </a:xfrm>
        <a:prstGeom xmlns:a="http://schemas.openxmlformats.org/drawingml/2006/main" prst="line">
          <a:avLst/>
        </a:prstGeom>
        <a:ln xmlns:a="http://schemas.openxmlformats.org/drawingml/2006/main" w="38100" cmpd="sng">
          <a:solidFill>
            <a:srgbClr val="C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0.12527</cdr:x>
      <cdr:y>0.42149</cdr:y>
    </cdr:from>
    <cdr:to>
      <cdr:x>0.2024</cdr:x>
      <cdr:y>0.55543</cdr:y>
    </cdr:to>
    <cdr:sp macro="" textlink="">
      <cdr:nvSpPr>
        <cdr:cNvPr id="22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82AE3E3C-F5AA-4C87-B591-D7F14B58D65A}"/>
            </a:ext>
          </a:extLst>
        </cdr:cNvPr>
        <cdr:cNvSpPr/>
      </cdr:nvSpPr>
      <cdr:spPr>
        <a:xfrm xmlns:a="http://schemas.openxmlformats.org/drawingml/2006/main">
          <a:off x="1825055" y="3439437"/>
          <a:ext cx="1123709" cy="109296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Proceso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adaptación </a:t>
          </a:r>
          <a:r>
            <a:rPr lang="en-US" sz="1000" b="1" dirty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0.5 </a:t>
          </a:r>
          <a:r>
            <a:rPr lang="en-US" sz="1000" b="1" dirty="0" err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/L/D</a:t>
          </a:r>
          <a:endParaRPr lang="es-MX" sz="1000" dirty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0.2978</cdr:x>
      <cdr:y>0.47892</cdr:y>
    </cdr:from>
    <cdr:to>
      <cdr:x>0.4676</cdr:x>
      <cdr:y>0.53341</cdr:y>
    </cdr:to>
    <cdr:sp macro="" textlink="">
      <cdr:nvSpPr>
        <cdr:cNvPr id="23" name="Rectángulo redondeado 12">
          <a:extLst xmlns:a="http://schemas.openxmlformats.org/drawingml/2006/main">
            <a:ext uri="{FF2B5EF4-FFF2-40B4-BE49-F238E27FC236}">
              <a16:creationId xmlns:a16="http://schemas.microsoft.com/office/drawing/2014/main" id="{0A255DC0-4E2D-463E-9362-8A19C6284FD5}"/>
            </a:ext>
          </a:extLst>
        </cdr:cNvPr>
        <cdr:cNvSpPr/>
      </cdr:nvSpPr>
      <cdr:spPr>
        <a:xfrm xmlns:a="http://schemas.openxmlformats.org/drawingml/2006/main">
          <a:off x="4338626" y="3908044"/>
          <a:ext cx="2473841" cy="444629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baja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0.64727</cdr:x>
      <cdr:y>0.47841</cdr:y>
    </cdr:from>
    <cdr:to>
      <cdr:x>0.81706</cdr:x>
      <cdr:y>0.5329</cdr:y>
    </cdr:to>
    <cdr:sp macro="" textlink="">
      <cdr:nvSpPr>
        <cdr:cNvPr id="24" name="Rectángulo redondeado 11">
          <a:extLst xmlns:a="http://schemas.openxmlformats.org/drawingml/2006/main">
            <a:ext uri="{FF2B5EF4-FFF2-40B4-BE49-F238E27FC236}">
              <a16:creationId xmlns:a16="http://schemas.microsoft.com/office/drawing/2014/main" id="{0B4D4017-346A-447A-B4F2-B0EB259988B1}"/>
            </a:ext>
          </a:extLst>
        </cdr:cNvPr>
        <cdr:cNvSpPr/>
      </cdr:nvSpPr>
      <cdr:spPr>
        <a:xfrm xmlns:a="http://schemas.openxmlformats.org/drawingml/2006/main">
          <a:off x="9430113" y="3903899"/>
          <a:ext cx="2473746" cy="44467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media</a:t>
          </a: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0.85729</cdr:x>
      <cdr:y>0.44695</cdr:y>
    </cdr:from>
    <cdr:to>
      <cdr:x>0.97411</cdr:x>
      <cdr:y>0.50143</cdr:y>
    </cdr:to>
    <cdr:sp macro="" textlink="">
      <cdr:nvSpPr>
        <cdr:cNvPr id="25" name="Rectángulo redondeado 10">
          <a:extLst xmlns:a="http://schemas.openxmlformats.org/drawingml/2006/main">
            <a:ext uri="{FF2B5EF4-FFF2-40B4-BE49-F238E27FC236}">
              <a16:creationId xmlns:a16="http://schemas.microsoft.com/office/drawing/2014/main" id="{30900AB6-4315-46DC-A6E0-A2B316522342}"/>
            </a:ext>
          </a:extLst>
        </cdr:cNvPr>
        <cdr:cNvSpPr/>
      </cdr:nvSpPr>
      <cdr:spPr>
        <a:xfrm xmlns:a="http://schemas.openxmlformats.org/drawingml/2006/main">
          <a:off x="12489954" y="3647148"/>
          <a:ext cx="1701982" cy="44463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alta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210456</xdr:colOff>
      <xdr:row>16</xdr:row>
      <xdr:rowOff>58058</xdr:rowOff>
    </xdr:from>
    <xdr:to>
      <xdr:col>10</xdr:col>
      <xdr:colOff>725713</xdr:colOff>
      <xdr:row>18</xdr:row>
      <xdr:rowOff>141285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29713" y="2960915"/>
          <a:ext cx="1306286" cy="446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COV= 0.5 gr/L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V= 2L mezcla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8 </a:t>
          </a:r>
        </a:p>
      </xdr:txBody>
    </xdr:sp>
    <xdr:clientData/>
  </xdr:twoCellAnchor>
  <xdr:twoCellAnchor>
    <xdr:from>
      <xdr:col>10</xdr:col>
      <xdr:colOff>413657</xdr:colOff>
      <xdr:row>16</xdr:row>
      <xdr:rowOff>72573</xdr:rowOff>
    </xdr:from>
    <xdr:to>
      <xdr:col>11</xdr:col>
      <xdr:colOff>493486</xdr:colOff>
      <xdr:row>18</xdr:row>
      <xdr:rowOff>155800</xdr:rowOff>
    </xdr:to>
    <xdr:sp macro="" textlink="">
      <xdr:nvSpPr>
        <xdr:cNvPr id="4" name="CuadroTexto 1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8323943" y="2975430"/>
          <a:ext cx="870857" cy="446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COV= 0.8 gr/L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V= 3L mezcla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20</a:t>
          </a:r>
        </a:p>
      </xdr:txBody>
    </xdr:sp>
    <xdr:clientData/>
  </xdr:twoCellAnchor>
  <xdr:twoCellAnchor>
    <xdr:from>
      <xdr:col>13</xdr:col>
      <xdr:colOff>551543</xdr:colOff>
      <xdr:row>16</xdr:row>
      <xdr:rowOff>79829</xdr:rowOff>
    </xdr:from>
    <xdr:to>
      <xdr:col>14</xdr:col>
      <xdr:colOff>631371</xdr:colOff>
      <xdr:row>18</xdr:row>
      <xdr:rowOff>163056</xdr:rowOff>
    </xdr:to>
    <xdr:sp macro="" textlink="">
      <xdr:nvSpPr>
        <xdr:cNvPr id="5" name="CuadroTexto 1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10834914" y="2982686"/>
          <a:ext cx="870857" cy="446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COV= 1 gr/L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V= 4L mezcla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50</a:t>
          </a:r>
        </a:p>
      </xdr:txBody>
    </xdr:sp>
    <xdr:clientData/>
  </xdr:twoCellAnchor>
  <xdr:twoCellAnchor>
    <xdr:from>
      <xdr:col>14</xdr:col>
      <xdr:colOff>587828</xdr:colOff>
      <xdr:row>16</xdr:row>
      <xdr:rowOff>14515</xdr:rowOff>
    </xdr:from>
    <xdr:to>
      <xdr:col>15</xdr:col>
      <xdr:colOff>754742</xdr:colOff>
      <xdr:row>18</xdr:row>
      <xdr:rowOff>97742</xdr:rowOff>
    </xdr:to>
    <xdr:sp macro="" textlink="">
      <xdr:nvSpPr>
        <xdr:cNvPr id="6" name="CuadroTexto 1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1662228" y="2917372"/>
          <a:ext cx="957943" cy="446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COV= 1.3 gr/L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V= 6L mezcla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58</a:t>
          </a:r>
        </a:p>
      </xdr:txBody>
    </xdr:sp>
    <xdr:clientData/>
  </xdr:twoCellAnchor>
  <xdr:twoCellAnchor>
    <xdr:from>
      <xdr:col>12</xdr:col>
      <xdr:colOff>130628</xdr:colOff>
      <xdr:row>16</xdr:row>
      <xdr:rowOff>94344</xdr:rowOff>
    </xdr:from>
    <xdr:to>
      <xdr:col>13</xdr:col>
      <xdr:colOff>333829</xdr:colOff>
      <xdr:row>18</xdr:row>
      <xdr:rowOff>59654</xdr:rowOff>
    </xdr:to>
    <xdr:sp macro="" textlink="">
      <xdr:nvSpPr>
        <xdr:cNvPr id="7" name="CuadroTexto 12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9622971" y="2997201"/>
          <a:ext cx="994229" cy="3281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Estiercol= 1 KG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35</a:t>
          </a:r>
        </a:p>
      </xdr:txBody>
    </xdr:sp>
    <xdr:clientData/>
  </xdr:twoCellAnchor>
  <xdr:twoCellAnchor>
    <xdr:from>
      <xdr:col>31</xdr:col>
      <xdr:colOff>456965</xdr:colOff>
      <xdr:row>6</xdr:row>
      <xdr:rowOff>82285</xdr:rowOff>
    </xdr:from>
    <xdr:to>
      <xdr:col>41</xdr:col>
      <xdr:colOff>72336</xdr:colOff>
      <xdr:row>24</xdr:row>
      <xdr:rowOff>163636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563013</xdr:colOff>
      <xdr:row>28</xdr:row>
      <xdr:rowOff>13244</xdr:rowOff>
    </xdr:from>
    <xdr:to>
      <xdr:col>61</xdr:col>
      <xdr:colOff>219366</xdr:colOff>
      <xdr:row>65</xdr:row>
      <xdr:rowOff>69273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43603</xdr:colOff>
      <xdr:row>85</xdr:row>
      <xdr:rowOff>142687</xdr:rowOff>
    </xdr:from>
    <xdr:to>
      <xdr:col>45</xdr:col>
      <xdr:colOff>146192</xdr:colOff>
      <xdr:row>115</xdr:row>
      <xdr:rowOff>56386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0.2619</cdr:x>
      <cdr:y>0</cdr:y>
    </cdr:from>
    <cdr:to>
      <cdr:x>0.80595</cdr:x>
      <cdr:y>0.13112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1A15AE31-BF20-4E59-9EEA-8809A781D06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97429" y="0"/>
          <a:ext cx="2487384" cy="359695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813524</xdr:colOff>
      <xdr:row>36</xdr:row>
      <xdr:rowOff>186102</xdr:rowOff>
    </xdr:from>
    <xdr:to>
      <xdr:col>27</xdr:col>
      <xdr:colOff>365606</xdr:colOff>
      <xdr:row>67</xdr:row>
      <xdr:rowOff>38485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254462</xdr:colOff>
      <xdr:row>5</xdr:row>
      <xdr:rowOff>49300</xdr:rowOff>
    </xdr:from>
    <xdr:to>
      <xdr:col>24</xdr:col>
      <xdr:colOff>124922</xdr:colOff>
      <xdr:row>25</xdr:row>
      <xdr:rowOff>7389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7696</xdr:colOff>
      <xdr:row>2</xdr:row>
      <xdr:rowOff>192423</xdr:rowOff>
    </xdr:from>
    <xdr:to>
      <xdr:col>27</xdr:col>
      <xdr:colOff>273243</xdr:colOff>
      <xdr:row>32</xdr:row>
      <xdr:rowOff>192423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</cdr:x>
      <cdr:y>0.48194</cdr:y>
    </cdr:from>
    <cdr:to>
      <cdr:x>0.775</cdr:x>
      <cdr:y>0.59028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926080" y="1322070"/>
          <a:ext cx="61722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0.72018</cdr:x>
      <cdr:y>0.04428</cdr:y>
    </cdr:from>
    <cdr:to>
      <cdr:x>1</cdr:x>
      <cdr:y>0.26759</cdr:y>
    </cdr:to>
    <cdr:sp macro="" textlink="">
      <cdr:nvSpPr>
        <cdr:cNvPr id="3" name="Rectángulo 2">
          <a:extLst xmlns:a="http://schemas.openxmlformats.org/drawingml/2006/main">
            <a:ext uri="{FF2B5EF4-FFF2-40B4-BE49-F238E27FC236}">
              <a16:creationId xmlns:a16="http://schemas.microsoft.com/office/drawing/2014/main" id="{A800933A-B01B-4191-A2D7-9EFC0416E846}"/>
            </a:ext>
          </a:extLst>
        </cdr:cNvPr>
        <cdr:cNvSpPr/>
      </cdr:nvSpPr>
      <cdr:spPr>
        <a:xfrm xmlns:a="http://schemas.openxmlformats.org/drawingml/2006/main">
          <a:off x="3726180" y="163830"/>
          <a:ext cx="1447800" cy="826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ct val="107000"/>
            </a:lnSpc>
            <a:spcAft>
              <a:spcPts val="800"/>
            </a:spcAft>
          </a:pP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Gasto total de NaOH 5 M (mL)</a:t>
          </a:r>
          <a:endParaRPr lang="es-MX" sz="1000" dirty="0">
            <a:solidFill>
              <a:schemeClr val="tx1"/>
            </a:solidFill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 xmlns:a="http://schemas.openxmlformats.org/drawingml/2006/main">
          <a:pPr algn="ctr">
            <a:lnSpc>
              <a:spcPct val="107000"/>
            </a:lnSpc>
            <a:spcAft>
              <a:spcPts val="0"/>
            </a:spcAft>
          </a:pP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Reactor 1: </a:t>
          </a:r>
          <a:r>
            <a:rPr lang="es-MX" sz="1000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594 mL</a:t>
          </a:r>
        </a:p>
        <a:p xmlns:a="http://schemas.openxmlformats.org/drawingml/2006/main">
          <a:pPr algn="ctr">
            <a:lnSpc>
              <a:spcPct val="107000"/>
            </a:lnSpc>
            <a:spcAft>
              <a:spcPts val="0"/>
            </a:spcAft>
          </a:pP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Reactor  2: </a:t>
          </a:r>
          <a:r>
            <a:rPr lang="es-MX" sz="1000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725 mL</a:t>
          </a: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es-MX" sz="1000" dirty="0">
            <a:solidFill>
              <a:schemeClr val="tx1"/>
            </a:solidFill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588764</xdr:colOff>
      <xdr:row>34</xdr:row>
      <xdr:rowOff>166088</xdr:rowOff>
    </xdr:from>
    <xdr:to>
      <xdr:col>43</xdr:col>
      <xdr:colOff>571445</xdr:colOff>
      <xdr:row>77</xdr:row>
      <xdr:rowOff>75784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662231</xdr:colOff>
      <xdr:row>34</xdr:row>
      <xdr:rowOff>189158</xdr:rowOff>
    </xdr:from>
    <xdr:to>
      <xdr:col>26</xdr:col>
      <xdr:colOff>32152</xdr:colOff>
      <xdr:row>77</xdr:row>
      <xdr:rowOff>16075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0.59321</cdr:x>
      <cdr:y>0.12138</cdr:y>
    </cdr:from>
    <cdr:to>
      <cdr:x>0.59501</cdr:x>
      <cdr:y>0.89517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7EDB8021-A632-4902-A219-2BB3414DDB45}"/>
            </a:ext>
          </a:extLst>
        </cdr:cNvPr>
        <cdr:cNvCxnSpPr/>
      </cdr:nvCxnSpPr>
      <cdr:spPr>
        <a:xfrm xmlns:a="http://schemas.openxmlformats.org/drawingml/2006/main" flipV="1">
          <a:off x="5513761" y="736879"/>
          <a:ext cx="16731" cy="4697586"/>
        </a:xfrm>
        <a:prstGeom xmlns:a="http://schemas.openxmlformats.org/drawingml/2006/main" prst="line">
          <a:avLst/>
        </a:prstGeom>
        <a:ln xmlns:a="http://schemas.openxmlformats.org/drawingml/2006/main" w="25400" cmpd="sng">
          <a:solidFill>
            <a:schemeClr val="accent5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0.76235</cdr:x>
      <cdr:y>0.12552</cdr:y>
    </cdr:from>
    <cdr:to>
      <cdr:x>0.76505</cdr:x>
      <cdr:y>0.90069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8E115B96-257E-4A4F-93C2-D74E9F5DB826}"/>
            </a:ext>
          </a:extLst>
        </cdr:cNvPr>
        <cdr:cNvCxnSpPr/>
      </cdr:nvCxnSpPr>
      <cdr:spPr>
        <a:xfrm xmlns:a="http://schemas.openxmlformats.org/drawingml/2006/main" flipV="1">
          <a:off x="7085803" y="761999"/>
          <a:ext cx="25096" cy="4705964"/>
        </a:xfrm>
        <a:prstGeom xmlns:a="http://schemas.openxmlformats.org/drawingml/2006/main" prst="line">
          <a:avLst/>
        </a:prstGeom>
        <a:ln xmlns:a="http://schemas.openxmlformats.org/drawingml/2006/main" w="25400" cmpd="sng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</cdr:x>
      <cdr:y>0.15172</cdr:y>
    </cdr:from>
    <cdr:to>
      <cdr:x>0.2079</cdr:x>
      <cdr:y>0.92551</cdr:y>
    </cdr:to>
    <cdr:cxnSp macro="">
      <cdr:nvCxnSpPr>
        <cdr:cNvPr id="7" name="Conector recto 6">
          <a:extLst xmlns:a="http://schemas.openxmlformats.org/drawingml/2006/main">
            <a:ext uri="{FF2B5EF4-FFF2-40B4-BE49-F238E27FC236}">
              <a16:creationId xmlns:a16="http://schemas.microsoft.com/office/drawing/2014/main" id="{9EA76115-14E6-42DB-BF08-83A95F490D95}"/>
            </a:ext>
          </a:extLst>
        </cdr:cNvPr>
        <cdr:cNvCxnSpPr/>
      </cdr:nvCxnSpPr>
      <cdr:spPr>
        <a:xfrm xmlns:a="http://schemas.openxmlformats.org/drawingml/2006/main" flipH="1" flipV="1">
          <a:off x="1924043" y="921095"/>
          <a:ext cx="8365" cy="4697585"/>
        </a:xfrm>
        <a:prstGeom xmlns:a="http://schemas.openxmlformats.org/drawingml/2006/main" prst="line">
          <a:avLst/>
        </a:prstGeom>
        <a:ln xmlns:a="http://schemas.openxmlformats.org/drawingml/2006/main" w="25400" cmpd="sng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0.26486</cdr:x>
      <cdr:y>0.18897</cdr:y>
    </cdr:from>
    <cdr:to>
      <cdr:x>0.4973</cdr:x>
      <cdr:y>0.25517</cdr:y>
    </cdr:to>
    <cdr:sp macro="" textlink="">
      <cdr:nvSpPr>
        <cdr:cNvPr id="2" name="Rectángulo redondeado 1"/>
        <cdr:cNvSpPr/>
      </cdr:nvSpPr>
      <cdr:spPr>
        <a:xfrm xmlns:a="http://schemas.openxmlformats.org/drawingml/2006/main">
          <a:off x="2461846" y="1147187"/>
          <a:ext cx="2160396" cy="40193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0.26667</cdr:x>
      <cdr:y>0.20966</cdr:y>
    </cdr:from>
    <cdr:to>
      <cdr:x>0.54505</cdr:x>
      <cdr:y>0.29103</cdr:y>
    </cdr:to>
    <cdr:sp macro="" textlink="">
      <cdr:nvSpPr>
        <cdr:cNvPr id="6" name="Rectángulo redondeado 5"/>
        <cdr:cNvSpPr/>
      </cdr:nvSpPr>
      <cdr:spPr>
        <a:xfrm xmlns:a="http://schemas.openxmlformats.org/drawingml/2006/main">
          <a:off x="2478593" y="1272792"/>
          <a:ext cx="2587451" cy="49404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 organica baja</a:t>
          </a:r>
        </a:p>
        <a:p xmlns:a="http://schemas.openxmlformats.org/drawingml/2006/main"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 gSV/L/D</a:t>
          </a:r>
        </a:p>
      </cdr:txBody>
    </cdr:sp>
  </cdr:relSizeAnchor>
  <cdr:relSizeAnchor xmlns:cdr="http://schemas.openxmlformats.org/drawingml/2006/chartDrawing">
    <cdr:from>
      <cdr:x>0.31712</cdr:x>
      <cdr:y>0.33241</cdr:y>
    </cdr:from>
    <cdr:to>
      <cdr:x>0.53874</cdr:x>
      <cdr:y>0.4069</cdr:y>
    </cdr:to>
    <cdr:sp macro="" textlink="">
      <cdr:nvSpPr>
        <cdr:cNvPr id="9" name="Rectángulo redondeado 8"/>
        <cdr:cNvSpPr/>
      </cdr:nvSpPr>
      <cdr:spPr>
        <a:xfrm xmlns:a="http://schemas.openxmlformats.org/drawingml/2006/main">
          <a:off x="2947516" y="2018044"/>
          <a:ext cx="2059913" cy="452176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Carga organica media</a:t>
          </a:r>
        </a:p>
        <a:p xmlns:a="http://schemas.openxmlformats.org/drawingml/2006/main">
          <a:r>
            <a:rPr lang="en-US"/>
            <a:t>2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Carga organica baja</a:t>
          </a:r>
          <a:endParaRPr lang="en-US">
            <a:effectLst/>
          </a:endParaRPr>
        </a:p>
        <a:p xmlns:a="http://schemas.openxmlformats.org/drawingml/2006/main"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gSV/L/D</a:t>
          </a:r>
          <a:endParaRPr lang="en-US">
            <a:effectLst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0.59321</cdr:x>
      <cdr:y>0.12138</cdr:y>
    </cdr:from>
    <cdr:to>
      <cdr:x>0.59501</cdr:x>
      <cdr:y>0.89517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3559346-7411-4032-92D2-17FA6073AF18}"/>
            </a:ext>
          </a:extLst>
        </cdr:cNvPr>
        <cdr:cNvCxnSpPr/>
      </cdr:nvCxnSpPr>
      <cdr:spPr>
        <a:xfrm xmlns:a="http://schemas.openxmlformats.org/drawingml/2006/main" flipV="1">
          <a:off x="5513761" y="736879"/>
          <a:ext cx="16731" cy="4697586"/>
        </a:xfrm>
        <a:prstGeom xmlns:a="http://schemas.openxmlformats.org/drawingml/2006/main" prst="line">
          <a:avLst/>
        </a:prstGeom>
        <a:ln xmlns:a="http://schemas.openxmlformats.org/drawingml/2006/main" w="25400" cmpd="sng">
          <a:solidFill>
            <a:schemeClr val="accent5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0.7747</cdr:x>
      <cdr:y>0.11678</cdr:y>
    </cdr:from>
    <cdr:to>
      <cdr:x>0.77546</cdr:x>
      <cdr:y>0.89451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492A7D6B-6877-4960-80C2-AFA0B39FA42F}"/>
            </a:ext>
          </a:extLst>
        </cdr:cNvPr>
        <cdr:cNvCxnSpPr/>
      </cdr:nvCxnSpPr>
      <cdr:spPr>
        <a:xfrm xmlns:a="http://schemas.openxmlformats.org/drawingml/2006/main" flipV="1">
          <a:off x="6955021" y="581662"/>
          <a:ext cx="6888" cy="3873631"/>
        </a:xfrm>
        <a:prstGeom xmlns:a="http://schemas.openxmlformats.org/drawingml/2006/main" prst="line">
          <a:avLst/>
        </a:prstGeom>
        <a:ln xmlns:a="http://schemas.openxmlformats.org/drawingml/2006/main" w="25400" cmpd="sng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0.20833</cdr:x>
      <cdr:y>0.12444</cdr:y>
    </cdr:from>
    <cdr:to>
      <cdr:x>0.21065</cdr:x>
      <cdr:y>0.90222</cdr:y>
    </cdr:to>
    <cdr:cxnSp macro="">
      <cdr:nvCxnSpPr>
        <cdr:cNvPr id="7" name="Conector recto 6">
          <a:extLst xmlns:a="http://schemas.openxmlformats.org/drawingml/2006/main">
            <a:ext uri="{FF2B5EF4-FFF2-40B4-BE49-F238E27FC236}">
              <a16:creationId xmlns:a16="http://schemas.microsoft.com/office/drawing/2014/main" id="{3EA8B978-8A04-44F6-939D-4BA8293F190C}"/>
            </a:ext>
          </a:extLst>
        </cdr:cNvPr>
        <cdr:cNvCxnSpPr/>
      </cdr:nvCxnSpPr>
      <cdr:spPr>
        <a:xfrm xmlns:a="http://schemas.openxmlformats.org/drawingml/2006/main" flipV="1">
          <a:off x="1870363" y="581891"/>
          <a:ext cx="20782" cy="3636818"/>
        </a:xfrm>
        <a:prstGeom xmlns:a="http://schemas.openxmlformats.org/drawingml/2006/main" prst="line">
          <a:avLst/>
        </a:prstGeom>
        <a:ln xmlns:a="http://schemas.openxmlformats.org/drawingml/2006/main" w="25400" cmpd="sng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0.26486</cdr:x>
      <cdr:y>0.18897</cdr:y>
    </cdr:from>
    <cdr:to>
      <cdr:x>0.4973</cdr:x>
      <cdr:y>0.25517</cdr:y>
    </cdr:to>
    <cdr:sp macro="" textlink="">
      <cdr:nvSpPr>
        <cdr:cNvPr id="2" name="Rectángulo redondeado 1"/>
        <cdr:cNvSpPr/>
      </cdr:nvSpPr>
      <cdr:spPr>
        <a:xfrm xmlns:a="http://schemas.openxmlformats.org/drawingml/2006/main">
          <a:off x="2461846" y="1147187"/>
          <a:ext cx="2160396" cy="40193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0.26247</cdr:x>
      <cdr:y>0.21907</cdr:y>
    </cdr:from>
    <cdr:to>
      <cdr:x>0.56138</cdr:x>
      <cdr:y>0.32052</cdr:y>
    </cdr:to>
    <cdr:sp macro="" textlink="">
      <cdr:nvSpPr>
        <cdr:cNvPr id="6" name="Rectángulo redondeado 5"/>
        <cdr:cNvSpPr/>
      </cdr:nvSpPr>
      <cdr:spPr>
        <a:xfrm xmlns:a="http://schemas.openxmlformats.org/drawingml/2006/main">
          <a:off x="2356389" y="1091133"/>
          <a:ext cx="2683537" cy="50529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baja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0.55217</cdr:x>
      <cdr:y>0.21745</cdr:y>
    </cdr:from>
    <cdr:to>
      <cdr:x>0.82277</cdr:x>
      <cdr:y>0.30158</cdr:y>
    </cdr:to>
    <cdr:sp macro="" textlink="">
      <cdr:nvSpPr>
        <cdr:cNvPr id="8" name="Rectángulo redondeado 7">
          <a:extLst xmlns:a="http://schemas.openxmlformats.org/drawingml/2006/main">
            <a:ext uri="{FF2B5EF4-FFF2-40B4-BE49-F238E27FC236}">
              <a16:creationId xmlns:a16="http://schemas.microsoft.com/office/drawing/2014/main" id="{B0F74B8C-B9A1-416B-8EFB-1F2FE6275229}"/>
            </a:ext>
          </a:extLst>
        </cdr:cNvPr>
        <cdr:cNvSpPr/>
      </cdr:nvSpPr>
      <cdr:spPr>
        <a:xfrm xmlns:a="http://schemas.openxmlformats.org/drawingml/2006/main">
          <a:off x="4957213" y="1083038"/>
          <a:ext cx="2429377" cy="419027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9pPr>
        </a:lstStyle>
        <a:p xmlns:a="http://schemas.openxmlformats.org/drawingml/2006/main">
          <a:pPr algn="ctr"/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media</a:t>
          </a: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0.70108</cdr:x>
      <cdr:y>0.22272</cdr:y>
    </cdr:from>
    <cdr:to>
      <cdr:x>1</cdr:x>
      <cdr:y>0.31796</cdr:y>
    </cdr:to>
    <cdr:sp macro="" textlink="">
      <cdr:nvSpPr>
        <cdr:cNvPr id="9" name="Rectángulo redondeado 6">
          <a:extLst xmlns:a="http://schemas.openxmlformats.org/drawingml/2006/main">
            <a:ext uri="{FF2B5EF4-FFF2-40B4-BE49-F238E27FC236}">
              <a16:creationId xmlns:a16="http://schemas.microsoft.com/office/drawing/2014/main" id="{CA743473-B002-495B-9BA5-4EB0F6FDE29C}"/>
            </a:ext>
          </a:extLst>
        </cdr:cNvPr>
        <cdr:cNvSpPr/>
      </cdr:nvSpPr>
      <cdr:spPr>
        <a:xfrm xmlns:a="http://schemas.openxmlformats.org/drawingml/2006/main">
          <a:off x="6294117" y="1109289"/>
          <a:ext cx="2683628" cy="47436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9pPr>
        </a:lstStyle>
        <a:p xmlns:a="http://schemas.openxmlformats.org/drawingml/2006/main">
          <a:pPr algn="ctr"/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alta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0.06517</cdr:x>
      <cdr:y>0.20553</cdr:y>
    </cdr:from>
    <cdr:to>
      <cdr:x>0.24009</cdr:x>
      <cdr:y>0.30078</cdr:y>
    </cdr:to>
    <cdr:sp macro="" textlink="">
      <cdr:nvSpPr>
        <cdr:cNvPr id="10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9D7A56B0-DC32-4A07-A8E8-BF981E6E4C60}"/>
            </a:ext>
          </a:extLst>
        </cdr:cNvPr>
        <cdr:cNvSpPr/>
      </cdr:nvSpPr>
      <cdr:spPr>
        <a:xfrm xmlns:a="http://schemas.openxmlformats.org/drawingml/2006/main">
          <a:off x="585075" y="1023702"/>
          <a:ext cx="1570387" cy="47441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Proceso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adaptación</a:t>
          </a:r>
        </a:p>
      </cdr:txBody>
    </cdr:sp>
  </cdr:relSizeAnchor>
  <cdr:relSizeAnchor xmlns:cdr="http://schemas.openxmlformats.org/drawingml/2006/chartDrawing">
    <cdr:from>
      <cdr:x>0.59411</cdr:x>
      <cdr:y>0.12608</cdr:y>
    </cdr:from>
    <cdr:to>
      <cdr:x>0.5963</cdr:x>
      <cdr:y>0.89432</cdr:y>
    </cdr:to>
    <cdr:cxnSp macro="">
      <cdr:nvCxnSpPr>
        <cdr:cNvPr id="11" name="Conector recto 10">
          <a:extLst xmlns:a="http://schemas.openxmlformats.org/drawingml/2006/main">
            <a:ext uri="{FF2B5EF4-FFF2-40B4-BE49-F238E27FC236}">
              <a16:creationId xmlns:a16="http://schemas.microsoft.com/office/drawing/2014/main" id="{D8C6C4EB-A57C-4A2B-AA15-46011A9BD4B9}"/>
            </a:ext>
          </a:extLst>
        </cdr:cNvPr>
        <cdr:cNvCxnSpPr/>
      </cdr:nvCxnSpPr>
      <cdr:spPr>
        <a:xfrm xmlns:a="http://schemas.openxmlformats.org/drawingml/2006/main" flipV="1">
          <a:off x="5333739" y="627965"/>
          <a:ext cx="19661" cy="3826379"/>
        </a:xfrm>
        <a:prstGeom xmlns:a="http://schemas.openxmlformats.org/drawingml/2006/main" prst="line">
          <a:avLst/>
        </a:prstGeom>
        <a:ln xmlns:a="http://schemas.openxmlformats.org/drawingml/2006/main" w="25400" cmpd="sng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0.08731</cdr:x>
      <cdr:y>0.27302</cdr:y>
    </cdr:from>
    <cdr:to>
      <cdr:x>0.96958</cdr:x>
      <cdr:y>0.27302</cdr:y>
    </cdr:to>
    <cdr:cxnSp macro="">
      <cdr:nvCxnSpPr>
        <cdr:cNvPr id="12" name="Conector recto 11">
          <a:extLst xmlns:a="http://schemas.openxmlformats.org/drawingml/2006/main">
            <a:ext uri="{FF2B5EF4-FFF2-40B4-BE49-F238E27FC236}">
              <a16:creationId xmlns:a16="http://schemas.microsoft.com/office/drawing/2014/main" id="{272B2A42-D357-0D46-AE9C-20668619BFDC}"/>
            </a:ext>
          </a:extLst>
        </cdr:cNvPr>
        <cdr:cNvCxnSpPr/>
      </cdr:nvCxnSpPr>
      <cdr:spPr>
        <a:xfrm xmlns:a="http://schemas.openxmlformats.org/drawingml/2006/main">
          <a:off x="783379" y="1405786"/>
          <a:ext cx="7916067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0.06786</cdr:x>
      <cdr:y>0.77986</cdr:y>
    </cdr:from>
    <cdr:to>
      <cdr:x>0.95013</cdr:x>
      <cdr:y>0.77986</cdr:y>
    </cdr:to>
    <cdr:cxnSp macro="">
      <cdr:nvCxnSpPr>
        <cdr:cNvPr id="13" name="Conector recto 12">
          <a:extLst xmlns:a="http://schemas.openxmlformats.org/drawingml/2006/main">
            <a:ext uri="{FF2B5EF4-FFF2-40B4-BE49-F238E27FC236}">
              <a16:creationId xmlns:a16="http://schemas.microsoft.com/office/drawing/2014/main" id="{F7563E3A-D5AF-4DBE-94D5-F054F7D60641}"/>
            </a:ext>
          </a:extLst>
        </cdr:cNvPr>
        <cdr:cNvCxnSpPr/>
      </cdr:nvCxnSpPr>
      <cdr:spPr>
        <a:xfrm xmlns:a="http://schemas.openxmlformats.org/drawingml/2006/main">
          <a:off x="608831" y="4015591"/>
          <a:ext cx="7916067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213360</xdr:colOff>
      <xdr:row>42</xdr:row>
      <xdr:rowOff>175260</xdr:rowOff>
    </xdr:from>
    <xdr:to>
      <xdr:col>26</xdr:col>
      <xdr:colOff>418407</xdr:colOff>
      <xdr:row>70</xdr:row>
      <xdr:rowOff>692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0.24786</cdr:x>
      <cdr:y>0.13817</cdr:y>
    </cdr:from>
    <cdr:to>
      <cdr:x>0.54863</cdr:x>
      <cdr:y>0.24033</cdr:y>
    </cdr:to>
    <cdr:sp macro="" textlink="">
      <cdr:nvSpPr>
        <cdr:cNvPr id="2" name="Rectángulo redondeado 8">
          <a:extLst xmlns:a="http://schemas.openxmlformats.org/drawingml/2006/main">
            <a:ext uri="{FF2B5EF4-FFF2-40B4-BE49-F238E27FC236}">
              <a16:creationId xmlns:a16="http://schemas.microsoft.com/office/drawing/2014/main" id="{92856562-815B-42FE-805A-061F8A2CAFB7}"/>
            </a:ext>
          </a:extLst>
        </cdr:cNvPr>
        <cdr:cNvSpPr/>
      </cdr:nvSpPr>
      <cdr:spPr>
        <a:xfrm xmlns:a="http://schemas.openxmlformats.org/drawingml/2006/main">
          <a:off x="2211460" y="683411"/>
          <a:ext cx="2683595" cy="50529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baja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0.5378</cdr:x>
      <cdr:y>0.143</cdr:y>
    </cdr:from>
    <cdr:to>
      <cdr:x>0.83857</cdr:x>
      <cdr:y>0.24516</cdr:y>
    </cdr:to>
    <cdr:sp macro="" textlink="">
      <cdr:nvSpPr>
        <cdr:cNvPr id="3" name="Rectángulo redondeado 10">
          <a:extLst xmlns:a="http://schemas.openxmlformats.org/drawingml/2006/main">
            <a:ext uri="{FF2B5EF4-FFF2-40B4-BE49-F238E27FC236}">
              <a16:creationId xmlns:a16="http://schemas.microsoft.com/office/drawing/2014/main" id="{B14CFD72-0493-4298-B081-E8D8BE8606C9}"/>
            </a:ext>
          </a:extLst>
        </cdr:cNvPr>
        <cdr:cNvSpPr/>
      </cdr:nvSpPr>
      <cdr:spPr>
        <a:xfrm xmlns:a="http://schemas.openxmlformats.org/drawingml/2006/main">
          <a:off x="4798405" y="707272"/>
          <a:ext cx="2683595" cy="50529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media </a:t>
          </a: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0.69923</cdr:x>
      <cdr:y>0.14536</cdr:y>
    </cdr:from>
    <cdr:to>
      <cdr:x>1</cdr:x>
      <cdr:y>0.24752</cdr:y>
    </cdr:to>
    <cdr:sp macro="" textlink="">
      <cdr:nvSpPr>
        <cdr:cNvPr id="4" name="Rectángulo redondeado 9">
          <a:extLst xmlns:a="http://schemas.openxmlformats.org/drawingml/2006/main">
            <a:ext uri="{FF2B5EF4-FFF2-40B4-BE49-F238E27FC236}">
              <a16:creationId xmlns:a16="http://schemas.microsoft.com/office/drawing/2014/main" id="{9C09F648-F69A-4D21-AE82-8E8E6C36E7F0}"/>
            </a:ext>
          </a:extLst>
        </cdr:cNvPr>
        <cdr:cNvSpPr/>
      </cdr:nvSpPr>
      <cdr:spPr>
        <a:xfrm xmlns:a="http://schemas.openxmlformats.org/drawingml/2006/main">
          <a:off x="6633802" y="718958"/>
          <a:ext cx="2683595" cy="50529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Carga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orgánica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alta</a:t>
          </a:r>
          <a:endParaRPr lang="en-US" sz="1000" b="1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 </a:t>
          </a:r>
          <a:r>
            <a:rPr lang="en-US" sz="1000" b="1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gSV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/L/D</a:t>
          </a:r>
        </a:p>
      </cdr:txBody>
    </cdr:sp>
  </cdr:relSizeAnchor>
  <cdr:relSizeAnchor xmlns:cdr="http://schemas.openxmlformats.org/drawingml/2006/chartDrawing">
    <cdr:from>
      <cdr:x>0.19587</cdr:x>
      <cdr:y>0.10444</cdr:y>
    </cdr:from>
    <cdr:to>
      <cdr:x>0.19859</cdr:x>
      <cdr:y>0.89906</cdr:y>
    </cdr:to>
    <cdr:cxnSp macro="">
      <cdr:nvCxnSpPr>
        <cdr:cNvPr id="5" name="Conector recto 4">
          <a:extLst xmlns:a="http://schemas.openxmlformats.org/drawingml/2006/main">
            <a:ext uri="{FF2B5EF4-FFF2-40B4-BE49-F238E27FC236}">
              <a16:creationId xmlns:a16="http://schemas.microsoft.com/office/drawing/2014/main" id="{55B7EECC-DA6A-447D-BF4C-9E98BBF7A2A7}"/>
            </a:ext>
          </a:extLst>
        </cdr:cNvPr>
        <cdr:cNvCxnSpPr/>
      </cdr:nvCxnSpPr>
      <cdr:spPr>
        <a:xfrm xmlns:a="http://schemas.openxmlformats.org/drawingml/2006/main" flipV="1">
          <a:off x="1747652" y="516561"/>
          <a:ext cx="24245" cy="3930265"/>
        </a:xfrm>
        <a:prstGeom xmlns:a="http://schemas.openxmlformats.org/drawingml/2006/main" prst="line">
          <a:avLst/>
        </a:prstGeom>
        <a:ln xmlns:a="http://schemas.openxmlformats.org/drawingml/2006/main" w="25400" cmpd="sng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0.57831</cdr:x>
      <cdr:y>0.10269</cdr:y>
    </cdr:from>
    <cdr:to>
      <cdr:x>0.58103</cdr:x>
      <cdr:y>0.89731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625403C1-F19D-4057-82FC-F088F23470FD}"/>
            </a:ext>
          </a:extLst>
        </cdr:cNvPr>
        <cdr:cNvCxnSpPr/>
      </cdr:nvCxnSpPr>
      <cdr:spPr>
        <a:xfrm xmlns:a="http://schemas.openxmlformats.org/drawingml/2006/main" flipV="1">
          <a:off x="5159904" y="507903"/>
          <a:ext cx="24245" cy="3930265"/>
        </a:xfrm>
        <a:prstGeom xmlns:a="http://schemas.openxmlformats.org/drawingml/2006/main" prst="line">
          <a:avLst/>
        </a:prstGeom>
        <a:ln xmlns:a="http://schemas.openxmlformats.org/drawingml/2006/main" w="25400" cmpd="sng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0.7703</cdr:x>
      <cdr:y>0.10269</cdr:y>
    </cdr:from>
    <cdr:to>
      <cdr:x>0.77301</cdr:x>
      <cdr:y>0.89731</cdr:y>
    </cdr:to>
    <cdr:cxnSp macro="">
      <cdr:nvCxnSpPr>
        <cdr:cNvPr id="7" name="Conector recto 6">
          <a:extLst xmlns:a="http://schemas.openxmlformats.org/drawingml/2006/main">
            <a:ext uri="{FF2B5EF4-FFF2-40B4-BE49-F238E27FC236}">
              <a16:creationId xmlns:a16="http://schemas.microsoft.com/office/drawing/2014/main" id="{EF27680C-DB64-4F93-A54E-AA1975F75914}"/>
            </a:ext>
          </a:extLst>
        </cdr:cNvPr>
        <cdr:cNvCxnSpPr/>
      </cdr:nvCxnSpPr>
      <cdr:spPr>
        <a:xfrm xmlns:a="http://schemas.openxmlformats.org/drawingml/2006/main" flipV="1">
          <a:off x="6872844" y="507903"/>
          <a:ext cx="24245" cy="3930265"/>
        </a:xfrm>
        <a:prstGeom xmlns:a="http://schemas.openxmlformats.org/drawingml/2006/main" prst="line">
          <a:avLst/>
        </a:prstGeom>
        <a:ln xmlns:a="http://schemas.openxmlformats.org/drawingml/2006/main" w="25400" cmpd="sng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0.08279</cdr:x>
      <cdr:y>0.59022</cdr:y>
    </cdr:from>
    <cdr:to>
      <cdr:x>0.97054</cdr:x>
      <cdr:y>0.59022</cdr:y>
    </cdr:to>
    <cdr:cxnSp macro="">
      <cdr:nvCxnSpPr>
        <cdr:cNvPr id="8" name="Conector recto 7">
          <a:extLst xmlns:a="http://schemas.openxmlformats.org/drawingml/2006/main">
            <a:ext uri="{FF2B5EF4-FFF2-40B4-BE49-F238E27FC236}">
              <a16:creationId xmlns:a16="http://schemas.microsoft.com/office/drawing/2014/main" id="{272B2A42-D357-0D46-AE9C-20668619BFDC}"/>
            </a:ext>
          </a:extLst>
        </cdr:cNvPr>
        <cdr:cNvCxnSpPr/>
      </cdr:nvCxnSpPr>
      <cdr:spPr>
        <a:xfrm xmlns:a="http://schemas.openxmlformats.org/drawingml/2006/main">
          <a:off x="738716" y="2919270"/>
          <a:ext cx="7920792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0.05233</cdr:x>
      <cdr:y>0.14719</cdr:y>
    </cdr:from>
    <cdr:to>
      <cdr:x>0.22834</cdr:x>
      <cdr:y>0.2431</cdr:y>
    </cdr:to>
    <cdr:sp macro="" textlink="">
      <cdr:nvSpPr>
        <cdr:cNvPr id="9" name="Rectángulo redondeado 11">
          <a:extLst xmlns:a="http://schemas.openxmlformats.org/drawingml/2006/main">
            <a:ext uri="{FF2B5EF4-FFF2-40B4-BE49-F238E27FC236}">
              <a16:creationId xmlns:a16="http://schemas.microsoft.com/office/drawing/2014/main" id="{918DACEC-FEB8-4AB2-AB31-FE8A6CC5868E}"/>
            </a:ext>
          </a:extLst>
        </cdr:cNvPr>
        <cdr:cNvSpPr/>
      </cdr:nvSpPr>
      <cdr:spPr>
        <a:xfrm xmlns:a="http://schemas.openxmlformats.org/drawingml/2006/main">
          <a:off x="466891" y="728002"/>
          <a:ext cx="1570398" cy="47437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9pPr>
        </a:lstStyle>
        <a:p xmlns:a="http://schemas.openxmlformats.org/drawingml/2006/main">
          <a:pPr algn="ctr"/>
          <a:r>
            <a:rPr lang="es-MX" sz="1000" b="1" noProof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Proceso</a:t>
          </a:r>
          <a:r>
            <a:rPr lang="en-US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adaptación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571786</xdr:colOff>
      <xdr:row>33</xdr:row>
      <xdr:rowOff>158999</xdr:rowOff>
    </xdr:from>
    <xdr:to>
      <xdr:col>24</xdr:col>
      <xdr:colOff>612048</xdr:colOff>
      <xdr:row>63</xdr:row>
      <xdr:rowOff>168313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571500</xdr:colOff>
      <xdr:row>3</xdr:row>
      <xdr:rowOff>118110</xdr:rowOff>
    </xdr:from>
    <xdr:to>
      <xdr:col>20</xdr:col>
      <xdr:colOff>388620</xdr:colOff>
      <xdr:row>18</xdr:row>
      <xdr:rowOff>118110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514119</xdr:colOff>
      <xdr:row>2</xdr:row>
      <xdr:rowOff>156072</xdr:rowOff>
    </xdr:from>
    <xdr:to>
      <xdr:col>24</xdr:col>
      <xdr:colOff>578384</xdr:colOff>
      <xdr:row>32</xdr:row>
      <xdr:rowOff>82625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330506</xdr:colOff>
      <xdr:row>6</xdr:row>
      <xdr:rowOff>82626</xdr:rowOff>
    </xdr:from>
    <xdr:to>
      <xdr:col>19</xdr:col>
      <xdr:colOff>348868</xdr:colOff>
      <xdr:row>27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V="1">
          <a:off x="15331807" y="1184313"/>
          <a:ext cx="18362" cy="3773277"/>
        </a:xfrm>
        <a:prstGeom prst="line">
          <a:avLst/>
        </a:prstGeom>
        <a:ln w="38100" cmpd="sng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739966</xdr:colOff>
      <xdr:row>6</xdr:row>
      <xdr:rowOff>88134</xdr:rowOff>
    </xdr:from>
    <xdr:to>
      <xdr:col>21</xdr:col>
      <xdr:colOff>758328</xdr:colOff>
      <xdr:row>27</xdr:row>
      <xdr:rowOff>5508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V="1">
          <a:off x="17320352" y="1189821"/>
          <a:ext cx="18362" cy="3773277"/>
        </a:xfrm>
        <a:prstGeom prst="line">
          <a:avLst/>
        </a:prstGeom>
        <a:ln w="38100" cmpd="sng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6"/>
  <sheetViews>
    <sheetView topLeftCell="A16" zoomScale="50" workbookViewId="0">
      <selection activeCell="M25" sqref="M25"/>
    </sheetView>
  </sheetViews>
  <sheetFormatPr baseColWidth="10" defaultColWidth="33" defaultRowHeight="24" x14ac:dyDescent="0.3"/>
  <cols>
    <col min="1" max="16384" width="33" style="120"/>
  </cols>
  <sheetData>
    <row r="1" spans="1:23" x14ac:dyDescent="0.3">
      <c r="C1" s="121" t="s">
        <v>49</v>
      </c>
      <c r="D1" s="121"/>
      <c r="E1" s="121"/>
      <c r="F1" s="121"/>
      <c r="G1" s="121"/>
      <c r="H1" s="121" t="s">
        <v>144</v>
      </c>
      <c r="I1" s="121"/>
      <c r="J1" s="121"/>
      <c r="K1" s="121" t="s">
        <v>146</v>
      </c>
      <c r="L1" s="121"/>
      <c r="M1" s="121"/>
      <c r="N1" s="121"/>
      <c r="O1" s="121"/>
    </row>
    <row r="2" spans="1:23" x14ac:dyDescent="0.3">
      <c r="B2" s="122" t="s">
        <v>139</v>
      </c>
      <c r="C2" s="123"/>
      <c r="H2" s="120" t="s">
        <v>145</v>
      </c>
      <c r="I2" s="124">
        <v>0.58599999999999997</v>
      </c>
      <c r="K2" s="120" t="s">
        <v>145</v>
      </c>
      <c r="L2" s="120" t="s">
        <v>147</v>
      </c>
    </row>
    <row r="3" spans="1:23" x14ac:dyDescent="0.3">
      <c r="G3" s="120" t="s">
        <v>143</v>
      </c>
      <c r="H3" s="120" t="s">
        <v>56</v>
      </c>
      <c r="I3" s="124">
        <v>0.60899999999999999</v>
      </c>
      <c r="K3" s="120" t="s">
        <v>56</v>
      </c>
      <c r="L3" s="120" t="s">
        <v>148</v>
      </c>
    </row>
    <row r="4" spans="1:23" x14ac:dyDescent="0.3">
      <c r="C4" s="125" t="s">
        <v>50</v>
      </c>
      <c r="D4" s="125" t="s">
        <v>51</v>
      </c>
      <c r="E4" s="125" t="s">
        <v>45</v>
      </c>
      <c r="F4" s="126"/>
    </row>
    <row r="5" spans="1:23" ht="20.5" customHeight="1" x14ac:dyDescent="0.3">
      <c r="B5" s="120" t="s">
        <v>64</v>
      </c>
      <c r="C5" s="120">
        <v>-413.5</v>
      </c>
      <c r="D5" s="120">
        <v>4.8600000000000003</v>
      </c>
      <c r="E5" s="127">
        <v>7.5</v>
      </c>
      <c r="F5" s="128"/>
      <c r="G5" s="129" t="s">
        <v>149</v>
      </c>
      <c r="H5" s="123"/>
      <c r="I5" s="123"/>
    </row>
    <row r="6" spans="1:23" x14ac:dyDescent="0.3">
      <c r="B6" s="120" t="s">
        <v>56</v>
      </c>
      <c r="C6" s="120">
        <v>-394</v>
      </c>
      <c r="D6" s="120">
        <v>5.62</v>
      </c>
      <c r="E6" s="127">
        <v>7.4</v>
      </c>
      <c r="F6" s="127"/>
      <c r="H6" s="120" t="s">
        <v>64</v>
      </c>
      <c r="I6" s="130">
        <v>2089</v>
      </c>
    </row>
    <row r="7" spans="1:23" x14ac:dyDescent="0.3">
      <c r="B7" s="131" t="s">
        <v>138</v>
      </c>
      <c r="C7" s="132"/>
      <c r="D7" s="132"/>
      <c r="E7" s="132"/>
      <c r="F7" s="132"/>
      <c r="G7" s="132"/>
      <c r="H7" s="120" t="s">
        <v>56</v>
      </c>
      <c r="I7" s="133">
        <v>2122.5</v>
      </c>
    </row>
    <row r="8" spans="1:23" x14ac:dyDescent="0.3">
      <c r="B8" s="120" t="s">
        <v>64</v>
      </c>
      <c r="C8" s="120">
        <v>-280.39999999999998</v>
      </c>
      <c r="D8" s="120">
        <v>15.4</v>
      </c>
      <c r="E8" s="127">
        <v>7.1</v>
      </c>
      <c r="F8" s="128"/>
    </row>
    <row r="9" spans="1:23" x14ac:dyDescent="0.3">
      <c r="B9" s="120" t="s">
        <v>56</v>
      </c>
      <c r="C9" s="120">
        <v>-251</v>
      </c>
      <c r="D9" s="120">
        <v>16.5</v>
      </c>
      <c r="E9" s="127">
        <v>7.2</v>
      </c>
      <c r="F9" s="127"/>
    </row>
    <row r="10" spans="1:23" x14ac:dyDescent="0.3">
      <c r="B10" s="134"/>
      <c r="H10" s="135"/>
      <c r="I10" s="135"/>
      <c r="J10" s="135"/>
      <c r="K10" s="135"/>
      <c r="L10" s="135"/>
      <c r="M10" s="136"/>
      <c r="N10" s="136"/>
      <c r="O10" s="137"/>
    </row>
    <row r="11" spans="1:23" x14ac:dyDescent="0.3">
      <c r="D11" s="135"/>
      <c r="F11" s="135"/>
      <c r="G11" s="135"/>
      <c r="H11" s="135"/>
      <c r="I11" s="135"/>
      <c r="J11" s="135"/>
      <c r="K11" s="135"/>
      <c r="L11" s="135"/>
      <c r="M11" s="137"/>
      <c r="N11" s="137"/>
      <c r="O11" s="137"/>
    </row>
    <row r="12" spans="1:23" x14ac:dyDescent="0.3">
      <c r="A12" s="138"/>
      <c r="B12" s="139" t="s">
        <v>16</v>
      </c>
      <c r="C12" s="139" t="s">
        <v>17</v>
      </c>
      <c r="D12" s="140" t="s">
        <v>18</v>
      </c>
      <c r="E12" s="139" t="s">
        <v>19</v>
      </c>
      <c r="F12" s="139" t="s">
        <v>20</v>
      </c>
      <c r="G12" s="139" t="s">
        <v>21</v>
      </c>
      <c r="H12" s="139" t="s">
        <v>22</v>
      </c>
      <c r="I12" s="141" t="s">
        <v>23</v>
      </c>
      <c r="J12" s="139" t="s">
        <v>24</v>
      </c>
      <c r="K12" s="141" t="s">
        <v>25</v>
      </c>
      <c r="L12" s="142" t="s">
        <v>26</v>
      </c>
      <c r="M12" s="143"/>
      <c r="N12" s="142" t="s">
        <v>27</v>
      </c>
      <c r="O12" s="142" t="s">
        <v>68</v>
      </c>
      <c r="P12" s="142" t="s">
        <v>69</v>
      </c>
      <c r="Q12" s="143"/>
      <c r="R12" s="143" t="s">
        <v>70</v>
      </c>
      <c r="S12" s="142" t="s">
        <v>71</v>
      </c>
      <c r="T12" s="142" t="s">
        <v>72</v>
      </c>
      <c r="U12" s="141" t="s">
        <v>73</v>
      </c>
      <c r="V12" s="141" t="s">
        <v>74</v>
      </c>
      <c r="W12" s="141" t="s">
        <v>75</v>
      </c>
    </row>
    <row r="13" spans="1:23" x14ac:dyDescent="0.3">
      <c r="A13" s="138"/>
      <c r="B13" s="139"/>
      <c r="C13" s="139"/>
      <c r="D13" s="140"/>
      <c r="E13" s="139"/>
      <c r="F13" s="139"/>
      <c r="G13" s="139"/>
      <c r="H13" s="139"/>
      <c r="I13" s="141"/>
      <c r="J13" s="139"/>
      <c r="K13" s="141"/>
      <c r="L13" s="142"/>
      <c r="M13" s="143" t="s">
        <v>76</v>
      </c>
      <c r="N13" s="142"/>
      <c r="O13" s="142"/>
      <c r="P13" s="142"/>
      <c r="Q13" s="143" t="s">
        <v>77</v>
      </c>
      <c r="R13" s="143" t="s">
        <v>78</v>
      </c>
      <c r="S13" s="142"/>
      <c r="T13" s="142"/>
      <c r="U13" s="141"/>
      <c r="V13" s="141"/>
      <c r="W13" s="141"/>
    </row>
    <row r="14" spans="1:23" x14ac:dyDescent="0.3">
      <c r="A14" s="120" t="s">
        <v>139</v>
      </c>
      <c r="B14" s="126"/>
      <c r="C14" s="126"/>
      <c r="D14" s="144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</row>
    <row r="15" spans="1:23" x14ac:dyDescent="0.3">
      <c r="A15" s="120" t="s">
        <v>64</v>
      </c>
      <c r="B15" s="135" t="s">
        <v>33</v>
      </c>
      <c r="C15" s="135">
        <v>24.613900000000001</v>
      </c>
      <c r="D15" s="135">
        <v>45.370899999999999</v>
      </c>
      <c r="E15" s="135">
        <v>25.212800000000001</v>
      </c>
      <c r="F15" s="135">
        <v>24.8325</v>
      </c>
      <c r="G15" s="135">
        <f>(D15-C15)</f>
        <v>20.756999999999998</v>
      </c>
      <c r="H15" s="135">
        <f>(E15-C15)</f>
        <v>0.59890000000000043</v>
      </c>
      <c r="I15" s="127">
        <f>(H15/G15)*100</f>
        <v>2.8852917088211227</v>
      </c>
      <c r="J15" s="120">
        <f t="shared" ref="J15:J20" si="0">H15-(F15-C15)</f>
        <v>0.38030000000000186</v>
      </c>
      <c r="K15" s="127">
        <f t="shared" ref="K15:K20" si="1">(J15/H15)*100</f>
        <v>63.499749540825114</v>
      </c>
      <c r="L15" s="128">
        <f>AVERAGE(I15:I17)</f>
        <v>3.232538443950169</v>
      </c>
      <c r="M15" s="145">
        <f t="shared" ref="M15" si="2">(L15/20)</f>
        <v>0.16162692219750846</v>
      </c>
      <c r="N15" s="128">
        <f>AVERAGE(K15:K17)</f>
        <v>56.519788458339946</v>
      </c>
      <c r="O15" s="120">
        <f t="shared" ref="O15:O20" si="3">((E15-C15)/(G15))*1000000</f>
        <v>28852.91708821123</v>
      </c>
      <c r="P15" s="120">
        <f t="shared" ref="P15:P20" si="4">((E15-F15)/(G15))*1000000</f>
        <v>18321.53008623606</v>
      </c>
      <c r="Q15" s="120">
        <f t="shared" ref="Q15:Q20" si="5">((P15*1)/1000)</f>
        <v>18.321530086236059</v>
      </c>
      <c r="R15" s="120">
        <f>(AVERAGE(Q15:Q17))</f>
        <v>17.757583926401264</v>
      </c>
      <c r="S15" s="128">
        <f t="shared" ref="S15:T20" si="6">AVERAGE(O15:O17)</f>
        <v>32325.384439501689</v>
      </c>
      <c r="T15" s="128">
        <f t="shared" si="6"/>
        <v>17757.583926401261</v>
      </c>
      <c r="U15" s="146">
        <f t="shared" ref="U15:U20" si="7">_xlfn.STDEV.S(I15:I17)</f>
        <v>0.68949939370642466</v>
      </c>
      <c r="V15" s="146">
        <f t="shared" ref="V15:V20" si="8">_xlfn.STDEV.S(K15:K17)</f>
        <v>11.22966065136591</v>
      </c>
      <c r="W15" s="146">
        <f t="shared" ref="W15:W20" si="9">_xlfn.STDEV.S(P15:P17)/1000</f>
        <v>0.49293146452986025</v>
      </c>
    </row>
    <row r="16" spans="1:23" x14ac:dyDescent="0.3">
      <c r="B16" s="135" t="s">
        <v>40</v>
      </c>
      <c r="C16" s="135">
        <v>23.613900000000001</v>
      </c>
      <c r="D16" s="135">
        <v>45.788800000000002</v>
      </c>
      <c r="E16" s="135">
        <v>24.506799999999998</v>
      </c>
      <c r="F16" s="135">
        <v>24.117799999999999</v>
      </c>
      <c r="G16" s="135">
        <f>(D16-C16)</f>
        <v>22.174900000000001</v>
      </c>
      <c r="H16" s="135">
        <f t="shared" ref="H16:H20" si="10">(E16-C16)</f>
        <v>0.89289999999999736</v>
      </c>
      <c r="I16" s="127">
        <f t="shared" ref="I16:I20" si="11">(H16/G16)*100</f>
        <v>4.0266246972928732</v>
      </c>
      <c r="J16" s="120">
        <f t="shared" si="0"/>
        <v>0.38899999999999935</v>
      </c>
      <c r="K16" s="127">
        <f t="shared" si="1"/>
        <v>43.565908836375911</v>
      </c>
      <c r="L16" s="128"/>
      <c r="M16" s="145">
        <f t="shared" ref="M16:M20" si="12">(L16/20)</f>
        <v>0</v>
      </c>
      <c r="N16" s="128"/>
      <c r="O16" s="120">
        <f t="shared" si="3"/>
        <v>40266.246972928726</v>
      </c>
      <c r="P16" s="120">
        <f t="shared" si="4"/>
        <v>17542.356448056104</v>
      </c>
      <c r="Q16" s="120">
        <f t="shared" si="5"/>
        <v>17.542356448056104</v>
      </c>
      <c r="R16" s="120">
        <f t="shared" ref="R16:R20" si="13">(AVERAGE(Q16:Q18))</f>
        <v>17.411452610434072</v>
      </c>
      <c r="S16" s="128">
        <f t="shared" si="6"/>
        <v>31812.280461038739</v>
      </c>
      <c r="T16" s="128">
        <f t="shared" si="6"/>
        <v>17411.452610434077</v>
      </c>
      <c r="U16" s="146">
        <f t="shared" si="7"/>
        <v>0.73263892136157582</v>
      </c>
      <c r="V16" s="146">
        <f t="shared" si="8"/>
        <v>11.16085518547308</v>
      </c>
      <c r="W16" s="146">
        <f t="shared" si="9"/>
        <v>0.12962952244107334</v>
      </c>
    </row>
    <row r="17" spans="1:23" x14ac:dyDescent="0.3">
      <c r="B17" s="135" t="s">
        <v>29</v>
      </c>
      <c r="C17" s="135">
        <v>25.519400000000001</v>
      </c>
      <c r="D17" s="135">
        <v>46.910800000000002</v>
      </c>
      <c r="E17" s="135">
        <v>26.115300000000001</v>
      </c>
      <c r="F17" s="135">
        <v>25.742899999999999</v>
      </c>
      <c r="G17" s="135">
        <f>(D17-C17)</f>
        <v>21.391400000000001</v>
      </c>
      <c r="H17" s="135">
        <f t="shared" si="10"/>
        <v>0.59590000000000032</v>
      </c>
      <c r="I17" s="127">
        <f>(H17/G17)*100</f>
        <v>2.7856989257365123</v>
      </c>
      <c r="J17" s="120">
        <f t="shared" si="0"/>
        <v>0.37240000000000251</v>
      </c>
      <c r="K17" s="127">
        <f t="shared" si="1"/>
        <v>62.493706997818812</v>
      </c>
      <c r="L17" s="128"/>
      <c r="M17" s="145">
        <f t="shared" si="12"/>
        <v>0</v>
      </c>
      <c r="N17" s="128"/>
      <c r="O17" s="120">
        <f t="shared" si="3"/>
        <v>27856.989257365123</v>
      </c>
      <c r="P17" s="120">
        <f t="shared" si="4"/>
        <v>17408.86524491162</v>
      </c>
      <c r="Q17" s="120">
        <f t="shared" si="5"/>
        <v>17.40886524491162</v>
      </c>
      <c r="R17" s="120">
        <f t="shared" si="13"/>
        <v>17.179606124808526</v>
      </c>
      <c r="S17" s="128">
        <f t="shared" si="6"/>
        <v>27347.021074912092</v>
      </c>
      <c r="T17" s="128">
        <f t="shared" si="6"/>
        <v>17179.606124808528</v>
      </c>
      <c r="U17" s="146">
        <f t="shared" si="7"/>
        <v>4.9410840299520295E-2</v>
      </c>
      <c r="V17" s="146">
        <f t="shared" si="8"/>
        <v>0.40636420239113274</v>
      </c>
      <c r="W17" s="146">
        <f t="shared" si="9"/>
        <v>0.29498035130557398</v>
      </c>
    </row>
    <row r="18" spans="1:23" x14ac:dyDescent="0.3">
      <c r="A18" s="120" t="s">
        <v>56</v>
      </c>
      <c r="B18" s="135" t="s">
        <v>140</v>
      </c>
      <c r="C18" s="135">
        <v>24.439900000000002</v>
      </c>
      <c r="D18" s="135">
        <v>47.479700000000001</v>
      </c>
      <c r="E18" s="135">
        <v>25.069199999999999</v>
      </c>
      <c r="F18" s="135">
        <v>24.670999999999999</v>
      </c>
      <c r="G18" s="135">
        <f>(D18-C18)</f>
        <v>23.0398</v>
      </c>
      <c r="H18" s="135">
        <f t="shared" si="10"/>
        <v>0.62929999999999708</v>
      </c>
      <c r="I18" s="127">
        <f t="shared" si="11"/>
        <v>2.7313605152822382</v>
      </c>
      <c r="J18" s="120">
        <f t="shared" si="0"/>
        <v>0.39819999999999922</v>
      </c>
      <c r="K18" s="127">
        <f t="shared" si="1"/>
        <v>63.276656602574455</v>
      </c>
      <c r="L18" s="128">
        <f>AVERAGE(I18:I20)</f>
        <v>2.6638845986205251</v>
      </c>
      <c r="M18" s="145">
        <f t="shared" si="12"/>
        <v>0.13319422993102625</v>
      </c>
      <c r="N18" s="128">
        <f t="shared" ref="N18" si="14">AVERAGE(K18:K20)</f>
        <v>62.481197751102236</v>
      </c>
      <c r="O18" s="120">
        <f t="shared" si="3"/>
        <v>27313.60515282238</v>
      </c>
      <c r="P18" s="120">
        <f t="shared" si="4"/>
        <v>17283.136138334503</v>
      </c>
      <c r="Q18" s="120">
        <f t="shared" si="5"/>
        <v>17.283136138334502</v>
      </c>
      <c r="R18" s="120">
        <f t="shared" si="13"/>
        <v>16.649278824401282</v>
      </c>
      <c r="S18" s="128">
        <f t="shared" si="6"/>
        <v>26638.845986205251</v>
      </c>
      <c r="T18" s="128">
        <f t="shared" si="6"/>
        <v>16649.278824401281</v>
      </c>
      <c r="U18" s="146">
        <f t="shared" si="7"/>
        <v>8.1562166116789958E-2</v>
      </c>
      <c r="V18" s="146">
        <f t="shared" si="8"/>
        <v>0.9220916796911991</v>
      </c>
      <c r="W18" s="146">
        <f t="shared" si="9"/>
        <v>0.75233465529246246</v>
      </c>
    </row>
    <row r="19" spans="1:23" x14ac:dyDescent="0.3">
      <c r="B19" s="135" t="s">
        <v>95</v>
      </c>
      <c r="C19" s="135">
        <v>25.645700000000001</v>
      </c>
      <c r="D19" s="135">
        <v>47.6736</v>
      </c>
      <c r="E19" s="135">
        <v>26.2376</v>
      </c>
      <c r="F19" s="135">
        <v>25.866499999999998</v>
      </c>
      <c r="G19" s="135">
        <f t="shared" ref="G19:G26" si="15">(D19-C19)</f>
        <v>22.027899999999999</v>
      </c>
      <c r="H19" s="135">
        <f t="shared" si="10"/>
        <v>0.59189999999999898</v>
      </c>
      <c r="I19" s="127">
        <f t="shared" si="11"/>
        <v>2.6870468814548776</v>
      </c>
      <c r="J19" s="120">
        <f t="shared" si="0"/>
        <v>0.37110000000000198</v>
      </c>
      <c r="K19" s="127">
        <f t="shared" si="1"/>
        <v>62.696401419159088</v>
      </c>
      <c r="L19" s="128"/>
      <c r="M19" s="145">
        <f t="shared" si="12"/>
        <v>0</v>
      </c>
      <c r="N19" s="128"/>
      <c r="O19" s="120">
        <f t="shared" si="3"/>
        <v>26870.468814548778</v>
      </c>
      <c r="P19" s="120">
        <f t="shared" si="4"/>
        <v>16846.816991179458</v>
      </c>
      <c r="Q19" s="120">
        <f t="shared" si="5"/>
        <v>16.846816991179459</v>
      </c>
      <c r="R19" s="120">
        <f t="shared" si="13"/>
        <v>16.332350167434672</v>
      </c>
      <c r="S19" s="128">
        <f t="shared" si="6"/>
        <v>26301.466402896684</v>
      </c>
      <c r="T19" s="128">
        <f t="shared" si="6"/>
        <v>16332.35016743467</v>
      </c>
      <c r="U19" s="146">
        <f t="shared" si="7"/>
        <v>8.0469092758138891E-2</v>
      </c>
      <c r="V19" s="146">
        <f t="shared" si="8"/>
        <v>0.86681829406930566</v>
      </c>
      <c r="W19" s="146">
        <f t="shared" si="9"/>
        <v>0.7275659595308861</v>
      </c>
    </row>
    <row r="20" spans="1:23" x14ac:dyDescent="0.3">
      <c r="B20" s="135" t="s">
        <v>84</v>
      </c>
      <c r="C20" s="135">
        <v>43.671100000000003</v>
      </c>
      <c r="D20" s="135">
        <v>65.235299999999995</v>
      </c>
      <c r="E20" s="135">
        <v>44.225999999999999</v>
      </c>
      <c r="F20" s="135">
        <v>43.884900000000002</v>
      </c>
      <c r="G20" s="135">
        <f t="shared" si="15"/>
        <v>21.564199999999992</v>
      </c>
      <c r="H20" s="135">
        <f t="shared" si="10"/>
        <v>0.5548999999999964</v>
      </c>
      <c r="I20" s="127">
        <f t="shared" si="11"/>
        <v>2.573246399124459</v>
      </c>
      <c r="J20" s="120">
        <f t="shared" si="0"/>
        <v>0.34109999999999729</v>
      </c>
      <c r="K20" s="127">
        <f t="shared" si="1"/>
        <v>61.470535231573166</v>
      </c>
      <c r="L20" s="128"/>
      <c r="M20" s="145">
        <f t="shared" si="12"/>
        <v>0</v>
      </c>
      <c r="N20" s="128"/>
      <c r="O20" s="120">
        <f t="shared" si="3"/>
        <v>25732.463991244589</v>
      </c>
      <c r="P20" s="120">
        <f t="shared" si="4"/>
        <v>15817.883343689884</v>
      </c>
      <c r="Q20" s="120">
        <f t="shared" si="5"/>
        <v>15.817883343689884</v>
      </c>
      <c r="R20" s="120">
        <f t="shared" si="13"/>
        <v>15.817883343689884</v>
      </c>
      <c r="S20" s="128">
        <f t="shared" si="6"/>
        <v>25732.463991244589</v>
      </c>
      <c r="T20" s="128">
        <f t="shared" si="6"/>
        <v>15817.883343689884</v>
      </c>
      <c r="U20" s="146" t="e">
        <f t="shared" si="7"/>
        <v>#DIV/0!</v>
      </c>
      <c r="V20" s="146" t="e">
        <f t="shared" si="8"/>
        <v>#DIV/0!</v>
      </c>
      <c r="W20" s="146" t="e">
        <f t="shared" si="9"/>
        <v>#DIV/0!</v>
      </c>
    </row>
    <row r="21" spans="1:23" x14ac:dyDescent="0.3">
      <c r="A21" s="120" t="s">
        <v>222</v>
      </c>
      <c r="B21" s="135" t="s">
        <v>129</v>
      </c>
      <c r="C21" s="135">
        <v>25.647400000000001</v>
      </c>
      <c r="D21" s="135">
        <v>44.019100000000002</v>
      </c>
      <c r="G21" s="135">
        <f t="shared" si="15"/>
        <v>18.371700000000001</v>
      </c>
    </row>
    <row r="22" spans="1:23" x14ac:dyDescent="0.3">
      <c r="B22" s="135" t="s">
        <v>141</v>
      </c>
      <c r="C22" s="135">
        <v>22.0364</v>
      </c>
      <c r="D22" s="135">
        <v>44.504399999999997</v>
      </c>
      <c r="G22" s="135">
        <f t="shared" si="15"/>
        <v>22.467999999999996</v>
      </c>
    </row>
    <row r="23" spans="1:23" x14ac:dyDescent="0.3">
      <c r="B23" s="120">
        <v>25</v>
      </c>
      <c r="C23" s="135">
        <v>25.693300000000001</v>
      </c>
      <c r="D23" s="135">
        <v>48.768700000000003</v>
      </c>
      <c r="G23" s="135">
        <f t="shared" si="15"/>
        <v>23.075400000000002</v>
      </c>
    </row>
    <row r="24" spans="1:23" x14ac:dyDescent="0.3">
      <c r="A24" s="120" t="s">
        <v>56</v>
      </c>
      <c r="B24" s="135" t="s">
        <v>142</v>
      </c>
      <c r="C24" s="135">
        <v>43.674399999999999</v>
      </c>
      <c r="D24" s="135">
        <v>66.146000000000001</v>
      </c>
      <c r="G24" s="135">
        <f t="shared" si="15"/>
        <v>22.471600000000002</v>
      </c>
    </row>
    <row r="25" spans="1:23" x14ac:dyDescent="0.3">
      <c r="B25" s="120">
        <v>85</v>
      </c>
      <c r="C25" s="135">
        <v>52.220700000000001</v>
      </c>
      <c r="D25" s="135">
        <v>71.199700000000007</v>
      </c>
      <c r="G25" s="135">
        <f t="shared" si="15"/>
        <v>18.979000000000006</v>
      </c>
    </row>
    <row r="26" spans="1:23" x14ac:dyDescent="0.3">
      <c r="B26" s="135" t="s">
        <v>33</v>
      </c>
      <c r="C26" s="135">
        <v>24.4391</v>
      </c>
      <c r="D26" s="135">
        <v>46.195799999999998</v>
      </c>
      <c r="G26" s="135">
        <f t="shared" si="15"/>
        <v>21.756699999999999</v>
      </c>
    </row>
  </sheetData>
  <mergeCells count="22">
    <mergeCell ref="B2:C2"/>
    <mergeCell ref="B7:G7"/>
    <mergeCell ref="B12:B13"/>
    <mergeCell ref="C12:C13"/>
    <mergeCell ref="D12:D13"/>
    <mergeCell ref="E12:E13"/>
    <mergeCell ref="F12:F13"/>
    <mergeCell ref="V12:V13"/>
    <mergeCell ref="W12:W13"/>
    <mergeCell ref="G5:I5"/>
    <mergeCell ref="O12:O13"/>
    <mergeCell ref="P12:P13"/>
    <mergeCell ref="S12:S13"/>
    <mergeCell ref="T12:T13"/>
    <mergeCell ref="U12:U13"/>
    <mergeCell ref="G12:G13"/>
    <mergeCell ref="H12:H13"/>
    <mergeCell ref="I12:I13"/>
    <mergeCell ref="J12:J13"/>
    <mergeCell ref="K12:K13"/>
    <mergeCell ref="L12:L13"/>
    <mergeCell ref="N12:N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2"/>
  <sheetViews>
    <sheetView topLeftCell="AE1" zoomScale="44" zoomScaleNormal="30" workbookViewId="0">
      <selection activeCell="L213" sqref="L213"/>
    </sheetView>
  </sheetViews>
  <sheetFormatPr baseColWidth="10" defaultRowHeight="15" x14ac:dyDescent="0.2"/>
  <cols>
    <col min="4" max="4" width="18.83203125" customWidth="1"/>
    <col min="5" max="5" width="19.6640625" customWidth="1"/>
    <col min="6" max="6" width="19.5" customWidth="1"/>
    <col min="7" max="7" width="14.1640625" customWidth="1"/>
    <col min="8" max="8" width="16.6640625" customWidth="1"/>
    <col min="11" max="11" width="17.5" customWidth="1"/>
    <col min="12" max="12" width="12.33203125" bestFit="1" customWidth="1"/>
    <col min="13" max="16" width="15.6640625" customWidth="1"/>
    <col min="17" max="19" width="15.5" customWidth="1"/>
    <col min="20" max="20" width="17.1640625" customWidth="1"/>
    <col min="27" max="28" width="19.6640625" customWidth="1"/>
    <col min="29" max="29" width="34.5" customWidth="1"/>
    <col min="30" max="30" width="24.83203125" customWidth="1"/>
    <col min="31" max="31" width="18.6640625" customWidth="1"/>
    <col min="32" max="32" width="24.33203125" customWidth="1"/>
  </cols>
  <sheetData>
    <row r="1" spans="1:32" x14ac:dyDescent="0.2">
      <c r="A1" s="64" t="s">
        <v>15</v>
      </c>
      <c r="B1" s="64" t="s">
        <v>57</v>
      </c>
      <c r="C1" s="65" t="s">
        <v>16</v>
      </c>
      <c r="D1" s="65" t="s">
        <v>17</v>
      </c>
      <c r="E1" s="66" t="s">
        <v>18</v>
      </c>
      <c r="F1" s="65" t="s">
        <v>19</v>
      </c>
      <c r="G1" s="65" t="s">
        <v>20</v>
      </c>
      <c r="H1" s="65" t="s">
        <v>21</v>
      </c>
      <c r="I1" s="65" t="s">
        <v>22</v>
      </c>
      <c r="J1" s="63" t="s">
        <v>23</v>
      </c>
      <c r="K1" s="65" t="s">
        <v>24</v>
      </c>
      <c r="L1" s="63" t="s">
        <v>25</v>
      </c>
      <c r="M1" s="54" t="s">
        <v>26</v>
      </c>
      <c r="N1" s="29"/>
      <c r="O1" s="29"/>
      <c r="P1" s="29"/>
      <c r="Q1" s="54" t="s">
        <v>27</v>
      </c>
      <c r="R1" s="29"/>
      <c r="S1" s="29"/>
      <c r="T1" s="54" t="s">
        <v>68</v>
      </c>
      <c r="U1" s="54" t="s">
        <v>69</v>
      </c>
      <c r="V1" s="29"/>
      <c r="W1" s="29"/>
      <c r="X1" s="29" t="s">
        <v>70</v>
      </c>
      <c r="Y1" s="29"/>
      <c r="Z1" s="29" t="s">
        <v>203</v>
      </c>
      <c r="AA1" s="54" t="s">
        <v>71</v>
      </c>
      <c r="AB1" s="29"/>
      <c r="AC1" s="54" t="s">
        <v>72</v>
      </c>
      <c r="AD1" s="63" t="s">
        <v>73</v>
      </c>
      <c r="AE1" s="63" t="s">
        <v>74</v>
      </c>
      <c r="AF1" s="63" t="s">
        <v>75</v>
      </c>
    </row>
    <row r="2" spans="1:32" ht="18.5" customHeight="1" x14ac:dyDescent="0.2">
      <c r="A2" s="64"/>
      <c r="B2" s="64"/>
      <c r="C2" s="65"/>
      <c r="D2" s="65"/>
      <c r="E2" s="66"/>
      <c r="F2" s="65"/>
      <c r="G2" s="65"/>
      <c r="H2" s="65"/>
      <c r="I2" s="65"/>
      <c r="J2" s="63"/>
      <c r="K2" s="65"/>
      <c r="L2" s="63"/>
      <c r="M2" s="54"/>
      <c r="N2" s="29"/>
      <c r="O2" s="29" t="s">
        <v>201</v>
      </c>
      <c r="P2" s="29" t="s">
        <v>76</v>
      </c>
      <c r="Q2" s="54"/>
      <c r="R2" s="29"/>
      <c r="S2" s="29" t="s">
        <v>202</v>
      </c>
      <c r="T2" s="54"/>
      <c r="U2" s="54"/>
      <c r="V2" s="29" t="s">
        <v>77</v>
      </c>
      <c r="W2" s="29"/>
      <c r="X2" s="29" t="s">
        <v>78</v>
      </c>
      <c r="Y2" s="29"/>
      <c r="Z2" s="29" t="s">
        <v>204</v>
      </c>
      <c r="AA2" s="54"/>
      <c r="AB2" s="29"/>
      <c r="AC2" s="54"/>
      <c r="AD2" s="63"/>
      <c r="AE2" s="63"/>
      <c r="AF2" s="63"/>
    </row>
    <row r="3" spans="1:32" x14ac:dyDescent="0.2">
      <c r="A3" s="30">
        <f ca="1">3:20131/4/2021</f>
        <v>0</v>
      </c>
      <c r="B3">
        <v>0</v>
      </c>
      <c r="C3" t="s">
        <v>79</v>
      </c>
      <c r="D3">
        <v>25.413699999999999</v>
      </c>
      <c r="E3">
        <v>47.696599999999997</v>
      </c>
      <c r="F3">
        <v>27.0459</v>
      </c>
      <c r="G3">
        <v>25.9404</v>
      </c>
      <c r="H3">
        <f>(E3-D3)</f>
        <v>22.282899999999998</v>
      </c>
      <c r="I3">
        <f>(F3-D3)</f>
        <v>1.632200000000001</v>
      </c>
      <c r="J3" s="13">
        <f t="shared" ref="J3:J76" si="0">(I3/H3)*100</f>
        <v>7.3248993622912693</v>
      </c>
      <c r="K3">
        <f t="shared" ref="K3:K34" si="1">I3-(G3-D3)</f>
        <v>1.1054999999999993</v>
      </c>
      <c r="L3" s="13">
        <f t="shared" ref="L3:L34" si="2">(K3/I3)*100</f>
        <v>67.730670260997343</v>
      </c>
      <c r="M3" s="31">
        <f>AVERAGE(J3:J5)</f>
        <v>7.2895670227936309</v>
      </c>
      <c r="N3" s="31">
        <v>7.0177174732424517</v>
      </c>
      <c r="O3" s="31">
        <f>AVERAGE(M3,N3)</f>
        <v>7.1536422480180413</v>
      </c>
      <c r="P3" s="31">
        <f>(M3/20)</f>
        <v>0.36447835113968152</v>
      </c>
      <c r="Q3" s="11">
        <f>AVERAGE(L3:L5)</f>
        <v>70.397549105256005</v>
      </c>
      <c r="R3" s="11">
        <v>69.816660696086103</v>
      </c>
      <c r="S3" s="11">
        <f>AVERAGE(Q3,R3)</f>
        <v>70.107104900671061</v>
      </c>
      <c r="T3">
        <f t="shared" ref="T3:T66" si="3">((F3-D3)/(H3))*1000000</f>
        <v>73248.993622912691</v>
      </c>
      <c r="U3">
        <f t="shared" ref="U3:U66" si="4">((F3-G3)/(H3))*1000000</f>
        <v>49612.034340233964</v>
      </c>
      <c r="V3">
        <f>((U3*1)/1000)</f>
        <v>49.612034340233961</v>
      </c>
      <c r="W3">
        <f>(V3/20)</f>
        <v>2.4806017170116981</v>
      </c>
      <c r="X3">
        <f>(AVERAGE(V3:V5))</f>
        <v>51.314728971289149</v>
      </c>
      <c r="Y3">
        <v>48.998088887995756</v>
      </c>
      <c r="Z3">
        <f>AVERAGE(X3,Y3)</f>
        <v>50.156408929642453</v>
      </c>
      <c r="AA3" s="11">
        <f t="shared" ref="AA3" si="5">AVERAGE(T3:T5)</f>
        <v>72895.670227936309</v>
      </c>
      <c r="AB3" s="11">
        <f t="shared" ref="AB3:AB66" si="6">AA3/1000</f>
        <v>72.895670227936307</v>
      </c>
      <c r="AC3" s="11">
        <f>AVERAGE(U3:U5)</f>
        <v>51314.728971289143</v>
      </c>
      <c r="AD3" s="26">
        <f>_xlfn.STDEV.S(J3:J5)</f>
        <v>5.9160634779293841E-2</v>
      </c>
      <c r="AE3" s="26">
        <f>_xlfn.STDEV.S(L3:L5)</f>
        <v>2.4417666783988303</v>
      </c>
      <c r="AF3" s="26">
        <f>_xlfn.STDEV.S(U3:U5)/1000</f>
        <v>1.7484316087646343</v>
      </c>
    </row>
    <row r="4" spans="1:32" x14ac:dyDescent="0.2">
      <c r="C4" s="32" t="s">
        <v>40</v>
      </c>
      <c r="D4">
        <v>23.897300000000001</v>
      </c>
      <c r="E4">
        <v>43.817999999999998</v>
      </c>
      <c r="F4">
        <v>25.356000000000002</v>
      </c>
      <c r="G4">
        <v>24.298100000000002</v>
      </c>
      <c r="H4">
        <f t="shared" ref="H4:H76" si="7">(E4-D4)</f>
        <v>19.920699999999997</v>
      </c>
      <c r="I4">
        <f t="shared" ref="I4:I144" si="8">(F4-D4)</f>
        <v>1.4587000000000003</v>
      </c>
      <c r="J4" s="13">
        <f t="shared" si="0"/>
        <v>7.3225338467021768</v>
      </c>
      <c r="K4">
        <f t="shared" si="1"/>
        <v>1.0579000000000001</v>
      </c>
      <c r="L4" s="13">
        <f t="shared" si="2"/>
        <v>72.52347981079042</v>
      </c>
      <c r="M4" s="13"/>
      <c r="N4" s="13"/>
      <c r="O4" s="31"/>
      <c r="P4" s="31"/>
      <c r="S4" s="11"/>
      <c r="T4">
        <f t="shared" si="3"/>
        <v>73225.338467021764</v>
      </c>
      <c r="U4">
        <f t="shared" si="4"/>
        <v>53105.563559513488</v>
      </c>
      <c r="V4">
        <f t="shared" ref="V4:V67" si="9">((U4*1)/1000)</f>
        <v>53.105563559513492</v>
      </c>
      <c r="AA4" s="11"/>
      <c r="AB4" s="11"/>
      <c r="AC4" s="26">
        <f>AC3/1000</f>
        <v>51.314728971289142</v>
      </c>
      <c r="AD4" s="26"/>
      <c r="AE4" s="26"/>
      <c r="AF4" s="26"/>
    </row>
    <row r="5" spans="1:32" x14ac:dyDescent="0.2">
      <c r="C5">
        <v>25</v>
      </c>
      <c r="D5">
        <v>25.684899999999999</v>
      </c>
      <c r="E5">
        <v>44.778500000000001</v>
      </c>
      <c r="F5">
        <v>27.063700000000001</v>
      </c>
      <c r="G5">
        <v>26.085599999999999</v>
      </c>
      <c r="H5">
        <f>(E5-D5)</f>
        <v>19.093600000000002</v>
      </c>
      <c r="I5">
        <f t="shared" si="8"/>
        <v>1.3788000000000018</v>
      </c>
      <c r="J5" s="13">
        <f t="shared" si="0"/>
        <v>7.2212678593874475</v>
      </c>
      <c r="K5">
        <f t="shared" si="1"/>
        <v>0.9781000000000013</v>
      </c>
      <c r="L5" s="13">
        <f t="shared" si="2"/>
        <v>70.938497243980265</v>
      </c>
      <c r="O5" s="31"/>
      <c r="P5" s="31"/>
      <c r="S5" s="11"/>
      <c r="T5">
        <f t="shared" si="3"/>
        <v>72212.678593874487</v>
      </c>
      <c r="U5">
        <f t="shared" si="4"/>
        <v>51226.589014119978</v>
      </c>
      <c r="V5">
        <f t="shared" si="9"/>
        <v>51.22658901411998</v>
      </c>
      <c r="AA5" s="11"/>
      <c r="AB5" s="11"/>
      <c r="AC5" s="33">
        <f>AC4/1000</f>
        <v>5.1314728971289143E-2</v>
      </c>
      <c r="AD5" s="26"/>
      <c r="AE5" s="26"/>
      <c r="AF5" s="26"/>
    </row>
    <row r="6" spans="1:32" x14ac:dyDescent="0.2">
      <c r="A6" s="30">
        <v>44288</v>
      </c>
      <c r="B6">
        <v>2</v>
      </c>
      <c r="C6" s="32" t="s">
        <v>36</v>
      </c>
      <c r="D6">
        <v>24.629000000000001</v>
      </c>
      <c r="E6">
        <v>45.903300000000002</v>
      </c>
      <c r="F6">
        <v>26.045200000000001</v>
      </c>
      <c r="G6">
        <v>24.5444</v>
      </c>
      <c r="H6">
        <f>(E6-D6)</f>
        <v>21.2743</v>
      </c>
      <c r="I6">
        <f t="shared" si="8"/>
        <v>1.4161999999999999</v>
      </c>
      <c r="J6" s="13">
        <f t="shared" si="0"/>
        <v>6.6568582750078722</v>
      </c>
      <c r="K6">
        <f t="shared" si="1"/>
        <v>1.5008000000000017</v>
      </c>
      <c r="L6" s="13">
        <f t="shared" si="2"/>
        <v>105.97373252365499</v>
      </c>
      <c r="M6" s="11">
        <f>AVERAGE(J6:J8)</f>
        <v>6.8528087971894927</v>
      </c>
      <c r="N6" s="11">
        <v>7.147621175519693</v>
      </c>
      <c r="O6" s="31">
        <f t="shared" ref="O6:O66" si="10">AVERAGE(M6,N6)</f>
        <v>7.0002149863545924</v>
      </c>
      <c r="P6" s="31">
        <f>(M6/20)</f>
        <v>0.34264043985947462</v>
      </c>
      <c r="Q6" s="11">
        <f>AVERAGE(L6:L8)</f>
        <v>67.89869408380325</v>
      </c>
      <c r="R6" s="11">
        <v>66.915217823306548</v>
      </c>
      <c r="S6" s="11">
        <f>AVERAGE(Q6,R6)</f>
        <v>67.406955953554899</v>
      </c>
      <c r="T6">
        <f>((F6-D6)/(H6))*1000000</f>
        <v>66568.582750078727</v>
      </c>
      <c r="U6">
        <f>((F6-G6)/(H6))*1000000</f>
        <v>70545.211828356347</v>
      </c>
      <c r="V6">
        <f t="shared" si="9"/>
        <v>70.545211828356344</v>
      </c>
      <c r="X6">
        <f>(AVERAGE(V6:V8))</f>
        <v>46.128974799496859</v>
      </c>
      <c r="Y6">
        <v>47.825268431093662</v>
      </c>
      <c r="Z6">
        <f t="shared" ref="Z6:Z66" si="11">AVERAGE(X6,Y6)</f>
        <v>46.97712161529526</v>
      </c>
      <c r="AA6" s="11">
        <f>AVERAGE(T6:T8)</f>
        <v>68528.087971894929</v>
      </c>
      <c r="AB6" s="11">
        <f t="shared" si="6"/>
        <v>68.528087971894934</v>
      </c>
      <c r="AC6" s="11">
        <f>AVERAGE(U6:U8)</f>
        <v>46128.974799496871</v>
      </c>
      <c r="AD6" s="26">
        <f>_xlfn.STDEV.S(J6:J8)</f>
        <v>0.17758998263176756</v>
      </c>
      <c r="AE6" s="26">
        <f>_xlfn.STDEV.S(L6:L8)</f>
        <v>33.913030309898382</v>
      </c>
      <c r="AF6" s="26">
        <f>_xlfn.STDEV.S(U6:U8)/1000</f>
        <v>21.787802543826952</v>
      </c>
    </row>
    <row r="7" spans="1:32" x14ac:dyDescent="0.2">
      <c r="C7">
        <v>25</v>
      </c>
      <c r="D7">
        <v>25.706299999999999</v>
      </c>
      <c r="E7">
        <v>46.980699999999999</v>
      </c>
      <c r="F7">
        <v>27.1739</v>
      </c>
      <c r="G7">
        <v>26.340499999999999</v>
      </c>
      <c r="H7">
        <f t="shared" si="7"/>
        <v>21.2744</v>
      </c>
      <c r="I7">
        <f t="shared" si="8"/>
        <v>1.4676000000000009</v>
      </c>
      <c r="J7" s="13">
        <f t="shared" si="0"/>
        <v>6.8984319181739595</v>
      </c>
      <c r="K7">
        <f t="shared" si="1"/>
        <v>0.83340000000000103</v>
      </c>
      <c r="L7" s="13">
        <f t="shared" si="2"/>
        <v>56.786590351594477</v>
      </c>
      <c r="O7" s="31"/>
      <c r="P7" s="31"/>
      <c r="S7" s="11"/>
      <c r="T7">
        <f t="shared" si="3"/>
        <v>68984.3191817396</v>
      </c>
      <c r="U7">
        <f t="shared" si="4"/>
        <v>39173.842740570879</v>
      </c>
      <c r="V7">
        <f t="shared" si="9"/>
        <v>39.173842740570876</v>
      </c>
      <c r="AA7" s="13"/>
      <c r="AB7" s="11"/>
      <c r="AC7" s="13">
        <f>AC6/1000</f>
        <v>46.128974799496874</v>
      </c>
      <c r="AD7" s="26"/>
      <c r="AE7" s="26"/>
      <c r="AF7" s="26"/>
    </row>
    <row r="8" spans="1:32" x14ac:dyDescent="0.2">
      <c r="C8" t="s">
        <v>80</v>
      </c>
      <c r="D8">
        <v>25.548999999999999</v>
      </c>
      <c r="E8">
        <v>44.7761</v>
      </c>
      <c r="F8">
        <v>26.895499999999998</v>
      </c>
      <c r="G8">
        <v>26.3443</v>
      </c>
      <c r="H8">
        <f t="shared" si="7"/>
        <v>19.2271</v>
      </c>
      <c r="I8">
        <f t="shared" si="8"/>
        <v>1.3464999999999989</v>
      </c>
      <c r="J8" s="13">
        <f t="shared" si="0"/>
        <v>7.0031361983866462</v>
      </c>
      <c r="K8">
        <f t="shared" si="1"/>
        <v>0.55119999999999791</v>
      </c>
      <c r="L8" s="13">
        <f t="shared" si="2"/>
        <v>40.935759376160291</v>
      </c>
      <c r="O8" s="31"/>
      <c r="P8" s="31"/>
      <c r="S8" s="11"/>
      <c r="T8">
        <f t="shared" si="3"/>
        <v>70031.36198386646</v>
      </c>
      <c r="U8">
        <f t="shared" si="4"/>
        <v>28667.869829563373</v>
      </c>
      <c r="V8">
        <f t="shared" si="9"/>
        <v>28.667869829563372</v>
      </c>
      <c r="AA8" s="13"/>
      <c r="AB8" s="11"/>
      <c r="AC8" s="13"/>
      <c r="AD8" s="26"/>
      <c r="AE8" s="26"/>
      <c r="AF8" s="26"/>
    </row>
    <row r="9" spans="1:32" x14ac:dyDescent="0.2">
      <c r="A9" s="30">
        <v>44291</v>
      </c>
      <c r="B9">
        <v>5</v>
      </c>
      <c r="C9" t="s">
        <v>31</v>
      </c>
      <c r="D9">
        <v>25.5764</v>
      </c>
      <c r="E9">
        <v>43.248100000000001</v>
      </c>
      <c r="F9">
        <v>27.0928</v>
      </c>
      <c r="G9">
        <v>26.108499999999999</v>
      </c>
      <c r="H9">
        <f>(E9-D9)</f>
        <v>17.671700000000001</v>
      </c>
      <c r="I9">
        <f>(F9-D9)</f>
        <v>1.5164000000000009</v>
      </c>
      <c r="J9" s="13">
        <f>(I9/H9)*100</f>
        <v>8.5809514647713616</v>
      </c>
      <c r="K9">
        <f t="shared" si="1"/>
        <v>0.98430000000000106</v>
      </c>
      <c r="L9" s="13">
        <f t="shared" si="2"/>
        <v>64.910313901345333</v>
      </c>
      <c r="M9" s="11">
        <f>AVERAGE(J9:J11)</f>
        <v>7.2886143949463653</v>
      </c>
      <c r="N9" s="11">
        <v>6.2746667722925649</v>
      </c>
      <c r="O9" s="31">
        <f t="shared" si="10"/>
        <v>6.7816405836194651</v>
      </c>
      <c r="P9" s="31">
        <f>(M9/20)</f>
        <v>0.36443071974731828</v>
      </c>
      <c r="Q9" s="11">
        <f>AVERAGE(L9:L11)</f>
        <v>161.76539825532493</v>
      </c>
      <c r="R9" s="11">
        <v>63.39020304612427</v>
      </c>
      <c r="S9" s="11">
        <f>AVERAGE(Q9,R9)</f>
        <v>112.5778006507246</v>
      </c>
      <c r="T9">
        <f t="shared" si="3"/>
        <v>85809.514647713615</v>
      </c>
      <c r="U9">
        <f t="shared" si="4"/>
        <v>55699.225315051801</v>
      </c>
      <c r="V9">
        <f t="shared" si="9"/>
        <v>55.699225315051798</v>
      </c>
      <c r="X9">
        <f>(AVERAGE(V9:V11))</f>
        <v>114.28439395018023</v>
      </c>
      <c r="Y9">
        <v>39.775119273998278</v>
      </c>
      <c r="Z9">
        <f t="shared" si="11"/>
        <v>77.029756612089258</v>
      </c>
      <c r="AA9" s="11">
        <f>AVERAGE(T9:T11)</f>
        <v>72886.143949463658</v>
      </c>
      <c r="AB9" s="11">
        <f t="shared" si="6"/>
        <v>72.886143949463658</v>
      </c>
      <c r="AC9" s="11">
        <f>AVERAGE(U9:U11)</f>
        <v>114284.39395018022</v>
      </c>
      <c r="AD9" s="26">
        <f>_xlfn.STDEV.S(J9:J11)</f>
        <v>1.1307849434164003</v>
      </c>
      <c r="AE9" s="26">
        <f>_xlfn.STDEV.S(L9:L11)</f>
        <v>259.04206163082682</v>
      </c>
      <c r="AF9" s="26">
        <f>_xlfn.STDEV.S(U9:U11)/1000</f>
        <v>173.76312675157959</v>
      </c>
    </row>
    <row r="10" spans="1:32" x14ac:dyDescent="0.2">
      <c r="C10" s="32" t="s">
        <v>35</v>
      </c>
      <c r="D10">
        <v>26.609400000000001</v>
      </c>
      <c r="E10">
        <v>46.558199999999999</v>
      </c>
      <c r="F10">
        <v>27.966699999999999</v>
      </c>
      <c r="G10">
        <v>21.787199999999999</v>
      </c>
      <c r="H10">
        <f t="shared" si="7"/>
        <v>19.948799999999999</v>
      </c>
      <c r="I10">
        <f t="shared" si="8"/>
        <v>1.3572999999999986</v>
      </c>
      <c r="J10" s="13">
        <f t="shared" si="0"/>
        <v>6.8039180301571971</v>
      </c>
      <c r="K10">
        <f t="shared" si="1"/>
        <v>6.1795000000000009</v>
      </c>
      <c r="L10" s="13">
        <f t="shared" si="2"/>
        <v>455.27886244750658</v>
      </c>
      <c r="O10" s="31"/>
      <c r="P10" s="31"/>
      <c r="S10" s="11"/>
      <c r="T10">
        <f t="shared" si="3"/>
        <v>68039.180301571963</v>
      </c>
      <c r="U10">
        <f t="shared" si="4"/>
        <v>309768.00609560485</v>
      </c>
      <c r="V10">
        <f t="shared" si="9"/>
        <v>309.76800609560485</v>
      </c>
      <c r="AA10" s="13"/>
      <c r="AB10" s="11"/>
      <c r="AC10" s="13">
        <f>AC9/1000</f>
        <v>114.28439395018022</v>
      </c>
      <c r="AD10" s="26"/>
      <c r="AE10" s="26"/>
      <c r="AF10" s="26"/>
    </row>
    <row r="11" spans="1:32" x14ac:dyDescent="0.2">
      <c r="C11" t="s">
        <v>40</v>
      </c>
      <c r="D11">
        <v>23.894300000000001</v>
      </c>
      <c r="E11">
        <v>45.593200000000003</v>
      </c>
      <c r="F11">
        <v>25.300599999999999</v>
      </c>
      <c r="G11">
        <v>25.7913</v>
      </c>
      <c r="H11">
        <f>(E11-D11)</f>
        <v>21.698900000000002</v>
      </c>
      <c r="I11">
        <f t="shared" si="8"/>
        <v>1.4062999999999981</v>
      </c>
      <c r="J11" s="13">
        <f t="shared" si="0"/>
        <v>6.480973689910539</v>
      </c>
      <c r="K11">
        <f t="shared" si="1"/>
        <v>-0.49070000000000036</v>
      </c>
      <c r="L11" s="13">
        <f t="shared" si="2"/>
        <v>-34.892981582877127</v>
      </c>
      <c r="O11" s="31"/>
      <c r="P11" s="31"/>
      <c r="S11" s="11"/>
      <c r="T11">
        <f t="shared" si="3"/>
        <v>64809.736899105395</v>
      </c>
      <c r="U11">
        <f>((F11-G11)/(H11))*1000000</f>
        <v>-22614.049560115964</v>
      </c>
      <c r="V11">
        <f t="shared" si="9"/>
        <v>-22.614049560115962</v>
      </c>
      <c r="AA11" s="13"/>
      <c r="AB11" s="11"/>
      <c r="AC11" s="13"/>
      <c r="AD11" s="26"/>
      <c r="AE11" s="26"/>
      <c r="AF11" s="26"/>
    </row>
    <row r="12" spans="1:32" x14ac:dyDescent="0.2">
      <c r="A12" s="30">
        <v>44293</v>
      </c>
      <c r="B12">
        <v>7</v>
      </c>
      <c r="C12">
        <v>84</v>
      </c>
      <c r="D12">
        <v>26.259599999999999</v>
      </c>
      <c r="E12">
        <v>46.865000000000002</v>
      </c>
      <c r="F12">
        <v>27.686900000000001</v>
      </c>
      <c r="G12">
        <v>27.011299999999999</v>
      </c>
      <c r="H12">
        <f>(E12-D12)</f>
        <v>20.605400000000003</v>
      </c>
      <c r="I12">
        <f t="shared" si="8"/>
        <v>1.4273000000000025</v>
      </c>
      <c r="J12" s="13">
        <f t="shared" si="0"/>
        <v>6.9268250070370021</v>
      </c>
      <c r="K12">
        <f t="shared" si="1"/>
        <v>0.67560000000000286</v>
      </c>
      <c r="L12" s="13">
        <f t="shared" si="2"/>
        <v>47.334127373362413</v>
      </c>
      <c r="M12" s="11">
        <f>AVERAGE(J12:J14)</f>
        <v>7.4562100110301088</v>
      </c>
      <c r="N12" s="11">
        <v>7.3554076981457577</v>
      </c>
      <c r="O12" s="31">
        <f>AVERAGE(M12,N12)</f>
        <v>7.4058088545879333</v>
      </c>
      <c r="P12" s="31">
        <f>(M12/20)</f>
        <v>0.37281050055150544</v>
      </c>
      <c r="Q12" s="11">
        <f>AVERAGE(L12:L14)</f>
        <v>68.996041557066704</v>
      </c>
      <c r="R12" s="11">
        <v>57.779236009473664</v>
      </c>
      <c r="S12" s="11">
        <f t="shared" ref="S12:S66" si="12">AVERAGE(Q12,R12)</f>
        <v>63.387638783270184</v>
      </c>
      <c r="T12">
        <f>((F12-D12)/(H12))*1000000</f>
        <v>69268.250070370021</v>
      </c>
      <c r="U12">
        <f t="shared" si="4"/>
        <v>32787.521717608142</v>
      </c>
      <c r="V12">
        <f t="shared" si="9"/>
        <v>32.787521717608143</v>
      </c>
      <c r="X12">
        <f>(AVERAGE(V12:V14))</f>
        <v>50.701591451172334</v>
      </c>
      <c r="Y12">
        <v>42.542820179073424</v>
      </c>
      <c r="Z12">
        <f t="shared" si="11"/>
        <v>46.622205815122882</v>
      </c>
      <c r="AA12" s="11">
        <f>AVERAGE(T12:T14)</f>
        <v>74562.100110301093</v>
      </c>
      <c r="AB12" s="11">
        <f>AA12/1000</f>
        <v>74.562100110301088</v>
      </c>
      <c r="AC12" s="11">
        <f>AVERAGE(U12:U14)</f>
        <v>50701.591451172331</v>
      </c>
      <c r="AD12" s="26">
        <f>_xlfn.STDEV.S(J12:J14)</f>
        <v>0.65532615335244038</v>
      </c>
      <c r="AE12" s="26">
        <f>_xlfn.STDEV.S(L12:L14)</f>
        <v>46.161818544393562</v>
      </c>
      <c r="AF12" s="26">
        <f>_xlfn.STDEV.S(U12:U14)/1000</f>
        <v>32.736777083846725</v>
      </c>
    </row>
    <row r="13" spans="1:32" x14ac:dyDescent="0.2">
      <c r="C13" t="s">
        <v>31</v>
      </c>
      <c r="D13">
        <v>25.583100000000002</v>
      </c>
      <c r="E13">
        <v>48.152799999999999</v>
      </c>
      <c r="F13">
        <v>27.22</v>
      </c>
      <c r="G13">
        <v>25.222899999999999</v>
      </c>
      <c r="H13">
        <f t="shared" si="7"/>
        <v>22.569699999999997</v>
      </c>
      <c r="I13">
        <f t="shared" si="8"/>
        <v>1.6368999999999971</v>
      </c>
      <c r="J13" s="13">
        <f t="shared" si="0"/>
        <v>7.2526440315998766</v>
      </c>
      <c r="K13">
        <f t="shared" si="1"/>
        <v>1.9970999999999997</v>
      </c>
      <c r="L13" s="13">
        <f t="shared" si="2"/>
        <v>122.00500946911865</v>
      </c>
      <c r="O13" s="31"/>
      <c r="P13" s="31"/>
      <c r="S13" s="11"/>
      <c r="T13">
        <f t="shared" si="3"/>
        <v>72526.440315998771</v>
      </c>
      <c r="U13">
        <f t="shared" si="4"/>
        <v>88485.890375148985</v>
      </c>
      <c r="V13">
        <f t="shared" si="9"/>
        <v>88.485890375148983</v>
      </c>
      <c r="AA13" s="13"/>
      <c r="AB13" s="11"/>
      <c r="AC13" s="13">
        <f>AC12/1000</f>
        <v>50.701591451172334</v>
      </c>
      <c r="AD13" s="26"/>
      <c r="AE13" s="26"/>
      <c r="AF13" s="26"/>
    </row>
    <row r="14" spans="1:32" x14ac:dyDescent="0.2">
      <c r="C14">
        <v>88</v>
      </c>
      <c r="D14">
        <v>19.864599999999999</v>
      </c>
      <c r="E14">
        <v>39.228000000000002</v>
      </c>
      <c r="F14">
        <v>21.450299999999999</v>
      </c>
      <c r="G14">
        <v>20.853300000000001</v>
      </c>
      <c r="H14">
        <f>(E14-D14)</f>
        <v>19.363400000000002</v>
      </c>
      <c r="I14">
        <f t="shared" si="8"/>
        <v>1.5856999999999992</v>
      </c>
      <c r="J14" s="13">
        <f>(I14/H14)*100</f>
        <v>8.1891609944534487</v>
      </c>
      <c r="K14">
        <f t="shared" si="1"/>
        <v>0.59699999999999775</v>
      </c>
      <c r="L14" s="13">
        <f t="shared" si="2"/>
        <v>37.648987828719058</v>
      </c>
      <c r="O14" s="31"/>
      <c r="P14" s="31"/>
      <c r="S14" s="11"/>
      <c r="T14">
        <f>((F14-D14)/(H14))*1000000</f>
        <v>81891.609944534488</v>
      </c>
      <c r="U14">
        <f t="shared" si="4"/>
        <v>30831.36226075987</v>
      </c>
      <c r="V14">
        <f t="shared" si="9"/>
        <v>30.831362260759871</v>
      </c>
      <c r="AA14" s="13"/>
      <c r="AB14" s="11"/>
      <c r="AC14" s="13"/>
      <c r="AD14" s="26"/>
      <c r="AE14" s="26"/>
      <c r="AF14" s="26"/>
    </row>
    <row r="15" spans="1:32" x14ac:dyDescent="0.2">
      <c r="A15" s="30">
        <v>44295</v>
      </c>
      <c r="B15">
        <v>9</v>
      </c>
      <c r="C15">
        <v>6</v>
      </c>
      <c r="D15">
        <v>21.164000000000001</v>
      </c>
      <c r="E15">
        <v>43.695799999999998</v>
      </c>
      <c r="F15">
        <v>22.6812</v>
      </c>
      <c r="G15">
        <v>20.266100000000002</v>
      </c>
      <c r="H15">
        <f t="shared" si="7"/>
        <v>22.531799999999997</v>
      </c>
      <c r="I15">
        <f t="shared" si="8"/>
        <v>1.517199999999999</v>
      </c>
      <c r="J15" s="13">
        <f t="shared" si="0"/>
        <v>6.7335942978368308</v>
      </c>
      <c r="K15">
        <f t="shared" si="1"/>
        <v>2.4150999999999989</v>
      </c>
      <c r="L15" s="13">
        <f t="shared" si="2"/>
        <v>159.18138676509363</v>
      </c>
      <c r="M15" s="11">
        <f>AVERAGE(J15:J17)</f>
        <v>7.0388285988505261</v>
      </c>
      <c r="N15" s="11">
        <v>6.8211312824466326</v>
      </c>
      <c r="O15" s="31">
        <f t="shared" si="10"/>
        <v>6.9299799406485789</v>
      </c>
      <c r="P15" s="31">
        <f>(M15/20)</f>
        <v>0.35194142994252631</v>
      </c>
      <c r="Q15" s="11">
        <f>AVERAGE(L15:L17)</f>
        <v>81.901389346763935</v>
      </c>
      <c r="R15" s="11">
        <v>51.422058236662394</v>
      </c>
      <c r="S15" s="11">
        <f t="shared" si="12"/>
        <v>66.661723791713172</v>
      </c>
      <c r="T15">
        <f t="shared" si="3"/>
        <v>67335.942978368315</v>
      </c>
      <c r="U15">
        <f t="shared" si="4"/>
        <v>107186.28782431937</v>
      </c>
      <c r="V15">
        <f t="shared" si="9"/>
        <v>107.18628782431936</v>
      </c>
      <c r="X15">
        <f>(AVERAGE(V15:V17))</f>
        <v>56.412628909895879</v>
      </c>
      <c r="Y15">
        <v>35.340243614411889</v>
      </c>
      <c r="Z15">
        <f t="shared" si="11"/>
        <v>45.876436262153888</v>
      </c>
      <c r="AA15" s="11">
        <f>AVERAGE(T15:T17)</f>
        <v>70388.285988505275</v>
      </c>
      <c r="AB15" s="11">
        <f t="shared" si="6"/>
        <v>70.388285988505274</v>
      </c>
      <c r="AC15" s="11">
        <f>AVERAGE(U15:U17)</f>
        <v>56412.628909895888</v>
      </c>
      <c r="AD15" s="26">
        <f>_xlfn.STDEV.S(J15:J17)</f>
        <v>0.41408057953206068</v>
      </c>
      <c r="AE15" s="26">
        <f>_xlfn.STDEV.S(L15:L17)</f>
        <v>66.980048461973112</v>
      </c>
      <c r="AF15" s="26">
        <f>_xlfn.STDEV.S(U15:U17)/1000</f>
        <v>43.974692024315829</v>
      </c>
    </row>
    <row r="16" spans="1:32" x14ac:dyDescent="0.2">
      <c r="C16" t="s">
        <v>39</v>
      </c>
      <c r="D16">
        <v>25.419699999999999</v>
      </c>
      <c r="E16">
        <v>49.148299999999999</v>
      </c>
      <c r="F16">
        <v>27.0505</v>
      </c>
      <c r="G16">
        <v>26.301300000000001</v>
      </c>
      <c r="H16">
        <f t="shared" si="7"/>
        <v>23.7286</v>
      </c>
      <c r="I16">
        <f t="shared" si="8"/>
        <v>1.6308000000000007</v>
      </c>
      <c r="J16" s="13">
        <f t="shared" si="0"/>
        <v>6.8727189973281213</v>
      </c>
      <c r="K16">
        <f t="shared" si="1"/>
        <v>0.74919999999999831</v>
      </c>
      <c r="L16" s="13">
        <f t="shared" si="2"/>
        <v>45.940642629384229</v>
      </c>
      <c r="O16" s="31"/>
      <c r="P16" s="31"/>
      <c r="S16" s="11"/>
      <c r="T16">
        <f t="shared" si="3"/>
        <v>68727.189973281216</v>
      </c>
      <c r="U16">
        <f t="shared" si="4"/>
        <v>31573.712734843113</v>
      </c>
      <c r="V16">
        <f t="shared" si="9"/>
        <v>31.573712734843113</v>
      </c>
      <c r="AA16" s="13"/>
      <c r="AB16" s="11"/>
      <c r="AC16" s="13">
        <f>AC15/1000</f>
        <v>56.412628909895886</v>
      </c>
      <c r="AD16" s="26"/>
      <c r="AE16" s="26"/>
      <c r="AF16" s="26"/>
    </row>
    <row r="17" spans="1:32" x14ac:dyDescent="0.2">
      <c r="C17" t="s">
        <v>81</v>
      </c>
      <c r="D17">
        <v>25.648099999999999</v>
      </c>
      <c r="E17">
        <v>47.103000000000002</v>
      </c>
      <c r="F17">
        <v>27.259399999999999</v>
      </c>
      <c r="G17">
        <v>26.605499999999999</v>
      </c>
      <c r="H17">
        <f t="shared" si="7"/>
        <v>21.454900000000002</v>
      </c>
      <c r="I17">
        <f t="shared" si="8"/>
        <v>1.6113</v>
      </c>
      <c r="J17" s="13">
        <f t="shared" si="0"/>
        <v>7.510172501386629</v>
      </c>
      <c r="K17">
        <f t="shared" si="1"/>
        <v>0.65390000000000015</v>
      </c>
      <c r="L17" s="13">
        <f t="shared" si="2"/>
        <v>40.582138645813949</v>
      </c>
      <c r="O17" s="31"/>
      <c r="P17" s="31"/>
      <c r="S17" s="11"/>
      <c r="T17">
        <f t="shared" si="3"/>
        <v>75101.725013866293</v>
      </c>
      <c r="U17">
        <f t="shared" si="4"/>
        <v>30477.886170525151</v>
      </c>
      <c r="V17">
        <f t="shared" si="9"/>
        <v>30.477886170525149</v>
      </c>
      <c r="AA17" s="13"/>
      <c r="AB17" s="11"/>
      <c r="AC17" s="13"/>
      <c r="AD17" s="26"/>
      <c r="AE17" s="26"/>
      <c r="AF17" s="26"/>
    </row>
    <row r="18" spans="1:32" x14ac:dyDescent="0.2">
      <c r="A18" s="30">
        <v>44298</v>
      </c>
      <c r="B18">
        <v>12</v>
      </c>
      <c r="C18" t="s">
        <v>30</v>
      </c>
      <c r="D18">
        <v>24.509399999999999</v>
      </c>
      <c r="E18">
        <v>47.103000000000002</v>
      </c>
      <c r="F18">
        <v>26.1038</v>
      </c>
      <c r="G18">
        <v>24.905200000000001</v>
      </c>
      <c r="H18">
        <f t="shared" si="7"/>
        <v>22.593600000000002</v>
      </c>
      <c r="I18">
        <f t="shared" si="8"/>
        <v>1.5944000000000003</v>
      </c>
      <c r="J18" s="13">
        <f t="shared" si="0"/>
        <v>7.0568656610721616</v>
      </c>
      <c r="K18">
        <f t="shared" si="1"/>
        <v>1.198599999999999</v>
      </c>
      <c r="L18" s="13">
        <f t="shared" si="2"/>
        <v>75.175614651279403</v>
      </c>
      <c r="M18" s="11">
        <f>AVERAGE(J18:J20)</f>
        <v>7.1512560764571527</v>
      </c>
      <c r="N18" s="11">
        <v>7.1421806330821367</v>
      </c>
      <c r="O18" s="31">
        <f t="shared" si="10"/>
        <v>7.1467183547696447</v>
      </c>
      <c r="P18" s="31">
        <f>(M18/20)</f>
        <v>0.35756280382285766</v>
      </c>
      <c r="Q18" s="11">
        <f>AVERAGE(L18:L20)</f>
        <v>79.425522537163488</v>
      </c>
      <c r="R18" s="11">
        <v>54.084706799935269</v>
      </c>
      <c r="S18" s="11">
        <f t="shared" si="12"/>
        <v>66.755114668549382</v>
      </c>
      <c r="T18">
        <f t="shared" si="3"/>
        <v>70568.65661072162</v>
      </c>
      <c r="U18">
        <f t="shared" si="4"/>
        <v>53050.421358260697</v>
      </c>
      <c r="V18">
        <f t="shared" si="9"/>
        <v>53.050421358260699</v>
      </c>
      <c r="X18">
        <f>(AVERAGE(V18:V20))</f>
        <v>56.815375714167267</v>
      </c>
      <c r="Y18">
        <v>38.813965090015692</v>
      </c>
      <c r="Z18">
        <f t="shared" si="11"/>
        <v>47.81467040209148</v>
      </c>
      <c r="AA18" s="11">
        <f>AVERAGE(T18:T20)</f>
        <v>71512.560764571535</v>
      </c>
      <c r="AB18" s="11">
        <f t="shared" si="6"/>
        <v>71.512560764571532</v>
      </c>
      <c r="AC18" s="11">
        <f>AVERAGE(U18:U20)</f>
        <v>56815.375714167276</v>
      </c>
      <c r="AD18" s="26">
        <f>_xlfn.STDEV.S(J18:J20)</f>
        <v>8.1772485374734527E-2</v>
      </c>
      <c r="AE18" s="26">
        <f>_xlfn.STDEV.S(L18:L20)</f>
        <v>27.640167628102176</v>
      </c>
      <c r="AF18" s="26">
        <f>_xlfn.STDEV.S(U18:U20)/1000</f>
        <v>19.969985704545223</v>
      </c>
    </row>
    <row r="19" spans="1:32" x14ac:dyDescent="0.2">
      <c r="C19">
        <v>84</v>
      </c>
      <c r="D19">
        <v>26.257300000000001</v>
      </c>
      <c r="E19">
        <v>49.467799999999997</v>
      </c>
      <c r="F19">
        <v>27.927600000000002</v>
      </c>
      <c r="G19">
        <v>26.107900000000001</v>
      </c>
      <c r="H19">
        <f t="shared" si="7"/>
        <v>23.210499999999996</v>
      </c>
      <c r="I19">
        <f t="shared" si="8"/>
        <v>1.670300000000001</v>
      </c>
      <c r="J19" s="13">
        <f t="shared" si="0"/>
        <v>7.1963120139592052</v>
      </c>
      <c r="K19">
        <f t="shared" si="1"/>
        <v>1.819700000000001</v>
      </c>
      <c r="L19" s="13">
        <f t="shared" si="2"/>
        <v>108.9445009878465</v>
      </c>
      <c r="O19" s="31"/>
      <c r="P19" s="31"/>
      <c r="S19" s="11"/>
      <c r="T19">
        <f t="shared" si="3"/>
        <v>71963.120139592051</v>
      </c>
      <c r="U19">
        <f t="shared" si="4"/>
        <v>78399.862131363014</v>
      </c>
      <c r="V19">
        <f t="shared" si="9"/>
        <v>78.399862131363008</v>
      </c>
      <c r="AA19" s="13"/>
      <c r="AB19" s="11"/>
      <c r="AC19" s="13">
        <f>AC18/1000</f>
        <v>56.815375714167274</v>
      </c>
      <c r="AD19" s="26"/>
      <c r="AE19" s="26"/>
      <c r="AF19" s="26"/>
    </row>
    <row r="20" spans="1:32" x14ac:dyDescent="0.2">
      <c r="C20" t="s">
        <v>33</v>
      </c>
      <c r="D20">
        <v>24.462299999999999</v>
      </c>
      <c r="E20">
        <v>43.156599999999997</v>
      </c>
      <c r="F20">
        <v>25.808399999999999</v>
      </c>
      <c r="G20">
        <v>25.0794</v>
      </c>
      <c r="H20">
        <f t="shared" si="7"/>
        <v>18.694299999999998</v>
      </c>
      <c r="I20">
        <f t="shared" si="8"/>
        <v>1.3460999999999999</v>
      </c>
      <c r="J20" s="13">
        <f t="shared" si="0"/>
        <v>7.200590554340093</v>
      </c>
      <c r="K20">
        <f t="shared" si="1"/>
        <v>0.7289999999999992</v>
      </c>
      <c r="L20" s="13">
        <f t="shared" si="2"/>
        <v>54.156451972364565</v>
      </c>
      <c r="O20" s="31"/>
      <c r="P20" s="31"/>
      <c r="S20" s="11"/>
      <c r="T20">
        <f t="shared" si="3"/>
        <v>72005.905543400935</v>
      </c>
      <c r="U20">
        <f t="shared" si="4"/>
        <v>38995.843652878109</v>
      </c>
      <c r="V20">
        <f t="shared" si="9"/>
        <v>38.995843652878108</v>
      </c>
      <c r="AA20" s="13"/>
      <c r="AB20" s="11"/>
      <c r="AC20" s="13"/>
      <c r="AD20" s="26"/>
      <c r="AE20" s="26"/>
      <c r="AF20" s="26"/>
    </row>
    <row r="21" spans="1:32" x14ac:dyDescent="0.2">
      <c r="A21" s="30">
        <v>44300</v>
      </c>
      <c r="B21">
        <v>14</v>
      </c>
      <c r="C21" t="s">
        <v>79</v>
      </c>
      <c r="D21">
        <v>25.417300000000001</v>
      </c>
      <c r="E21">
        <v>47.303699999999999</v>
      </c>
      <c r="F21">
        <v>26.964400000000001</v>
      </c>
      <c r="G21">
        <v>26.234100000000002</v>
      </c>
      <c r="H21">
        <f t="shared" si="7"/>
        <v>21.886399999999998</v>
      </c>
      <c r="I21">
        <f t="shared" si="8"/>
        <v>1.5471000000000004</v>
      </c>
      <c r="J21" s="13">
        <f>(I21/H21)*100</f>
        <v>7.0687733021419712</v>
      </c>
      <c r="K21">
        <f t="shared" si="1"/>
        <v>0.73029999999999973</v>
      </c>
      <c r="L21" s="13">
        <f t="shared" si="2"/>
        <v>47.204447029926932</v>
      </c>
      <c r="M21" s="11">
        <f>AVERAGE(J21:J23)</f>
        <v>6.7816596088736398</v>
      </c>
      <c r="N21" s="11">
        <v>6.3736251591054911</v>
      </c>
      <c r="O21" s="31">
        <f>AVERAGE(M21,N21)</f>
        <v>6.5776423839895655</v>
      </c>
      <c r="P21" s="31">
        <f>(M21/20)</f>
        <v>0.33908298044368201</v>
      </c>
      <c r="Q21" s="11">
        <f>AVERAGE(L21:L23)</f>
        <v>77.309717891976121</v>
      </c>
      <c r="R21" s="11">
        <v>55.360184278050234</v>
      </c>
      <c r="S21" s="11">
        <f t="shared" si="12"/>
        <v>66.334951085013174</v>
      </c>
      <c r="T21">
        <f t="shared" si="3"/>
        <v>70687.733021419714</v>
      </c>
      <c r="U21">
        <f t="shared" si="4"/>
        <v>33367.753490752235</v>
      </c>
      <c r="V21">
        <f t="shared" si="9"/>
        <v>33.367753490752236</v>
      </c>
      <c r="X21">
        <f>(AVERAGE(V21:V23))</f>
        <v>51.993411671806363</v>
      </c>
      <c r="Y21">
        <v>35.351940884023506</v>
      </c>
      <c r="Z21">
        <f t="shared" si="11"/>
        <v>43.672676277914931</v>
      </c>
      <c r="AA21" s="11">
        <f>AVERAGE(T21:T23)</f>
        <v>67816.59608873642</v>
      </c>
      <c r="AB21" s="11">
        <f t="shared" si="6"/>
        <v>67.816596088736418</v>
      </c>
      <c r="AC21" s="11">
        <f>AVERAGE(U21:U23)</f>
        <v>51993.411671806367</v>
      </c>
      <c r="AD21" s="26">
        <f>_xlfn.STDEV.S(J21:J23)</f>
        <v>0.26223028982092367</v>
      </c>
      <c r="AE21" s="26">
        <f>_xlfn.STDEV.S(L21:L23)</f>
        <v>26.078398814340034</v>
      </c>
      <c r="AF21" s="26">
        <f>_xlfn.STDEV.S(U21:U23)/1000</f>
        <v>16.134858822127239</v>
      </c>
    </row>
    <row r="22" spans="1:32" x14ac:dyDescent="0.2">
      <c r="C22">
        <v>9</v>
      </c>
      <c r="D22">
        <v>20.001300000000001</v>
      </c>
      <c r="E22">
        <v>43.046999999999997</v>
      </c>
      <c r="F22">
        <v>21.511900000000001</v>
      </c>
      <c r="G22">
        <v>20.107900000000001</v>
      </c>
      <c r="H22">
        <f t="shared" si="7"/>
        <v>23.045699999999997</v>
      </c>
      <c r="I22">
        <f>(F22-D22)</f>
        <v>1.5106000000000002</v>
      </c>
      <c r="J22" s="13">
        <f t="shared" si="0"/>
        <v>6.554801980412833</v>
      </c>
      <c r="K22">
        <f t="shared" si="1"/>
        <v>1.4039999999999999</v>
      </c>
      <c r="L22" s="13">
        <f t="shared" si="2"/>
        <v>92.943201376936301</v>
      </c>
      <c r="O22" s="31"/>
      <c r="P22" s="31"/>
      <c r="S22" s="11"/>
      <c r="T22">
        <f t="shared" si="3"/>
        <v>65548.019804128329</v>
      </c>
      <c r="U22">
        <f t="shared" si="4"/>
        <v>60922.42804514509</v>
      </c>
      <c r="V22">
        <f t="shared" si="9"/>
        <v>60.922428045145089</v>
      </c>
      <c r="AA22" s="13"/>
      <c r="AB22" s="11"/>
      <c r="AC22" s="13">
        <f>AC21/1000</f>
        <v>51.993411671806363</v>
      </c>
      <c r="AD22" s="26"/>
      <c r="AE22" s="26"/>
      <c r="AF22" s="26"/>
    </row>
    <row r="23" spans="1:32" x14ac:dyDescent="0.2">
      <c r="C23" t="s">
        <v>82</v>
      </c>
      <c r="D23">
        <v>25.648399999999999</v>
      </c>
      <c r="E23">
        <v>49.508000000000003</v>
      </c>
      <c r="F23">
        <v>27.252099999999999</v>
      </c>
      <c r="G23">
        <v>25.780200000000001</v>
      </c>
      <c r="H23">
        <f t="shared" si="7"/>
        <v>23.859600000000004</v>
      </c>
      <c r="I23">
        <f t="shared" si="8"/>
        <v>1.6036999999999999</v>
      </c>
      <c r="J23" s="13">
        <f t="shared" si="0"/>
        <v>6.721403544066118</v>
      </c>
      <c r="K23">
        <f t="shared" si="1"/>
        <v>1.471899999999998</v>
      </c>
      <c r="L23" s="13">
        <f t="shared" si="2"/>
        <v>91.781505269065164</v>
      </c>
      <c r="O23" s="31"/>
      <c r="P23" s="31"/>
      <c r="S23" s="11"/>
      <c r="T23">
        <f t="shared" si="3"/>
        <v>67214.035440661173</v>
      </c>
      <c r="U23">
        <f t="shared" si="4"/>
        <v>61690.053479521775</v>
      </c>
      <c r="V23">
        <f t="shared" si="9"/>
        <v>61.690053479521772</v>
      </c>
      <c r="AA23" s="13"/>
      <c r="AB23" s="11"/>
      <c r="AC23" s="13"/>
      <c r="AD23" s="26"/>
      <c r="AE23" s="26"/>
      <c r="AF23" s="26"/>
    </row>
    <row r="24" spans="1:32" x14ac:dyDescent="0.2">
      <c r="A24" s="30">
        <v>44302</v>
      </c>
      <c r="B24">
        <v>16</v>
      </c>
      <c r="C24">
        <v>88</v>
      </c>
      <c r="D24">
        <v>18.8642</v>
      </c>
      <c r="E24">
        <v>39.8414</v>
      </c>
      <c r="F24">
        <v>20.301400000000001</v>
      </c>
      <c r="G24">
        <v>19.650700000000001</v>
      </c>
      <c r="H24">
        <f t="shared" si="7"/>
        <v>20.9772</v>
      </c>
      <c r="I24">
        <f t="shared" si="8"/>
        <v>1.4372000000000007</v>
      </c>
      <c r="J24" s="13">
        <f t="shared" si="0"/>
        <v>6.8512480216616174</v>
      </c>
      <c r="K24">
        <f t="shared" si="1"/>
        <v>0.6507000000000005</v>
      </c>
      <c r="L24" s="13">
        <f t="shared" si="2"/>
        <v>45.275535763985545</v>
      </c>
      <c r="M24" s="11">
        <f>AVERAGE(J24:J26)</f>
        <v>7.1812986528601579</v>
      </c>
      <c r="N24" s="11">
        <v>6.9278361523958596</v>
      </c>
      <c r="O24" s="31">
        <f t="shared" si="10"/>
        <v>7.0545674026280087</v>
      </c>
      <c r="P24" s="31">
        <f>(M24/20)</f>
        <v>0.35906493264300787</v>
      </c>
      <c r="Q24" s="11">
        <f>AVERAGE(L24:L26)</f>
        <v>76.721711603276546</v>
      </c>
      <c r="R24" s="11">
        <v>47.498068472010111</v>
      </c>
      <c r="S24" s="11">
        <f t="shared" si="12"/>
        <v>62.109890037643325</v>
      </c>
      <c r="T24">
        <f t="shared" si="3"/>
        <v>68512.480216616168</v>
      </c>
      <c r="U24">
        <f t="shared" si="4"/>
        <v>31019.392483267573</v>
      </c>
      <c r="V24">
        <f t="shared" si="9"/>
        <v>31.019392483267573</v>
      </c>
      <c r="X24">
        <f>(AVERAGE(V24:V26))</f>
        <v>55.461504477353316</v>
      </c>
      <c r="Y24">
        <v>33.252323145775122</v>
      </c>
      <c r="Z24">
        <f t="shared" si="11"/>
        <v>44.356913811564219</v>
      </c>
      <c r="AA24" s="11">
        <f>AVERAGE(T24:T26)</f>
        <v>71812.98652860157</v>
      </c>
      <c r="AB24" s="11">
        <f t="shared" si="6"/>
        <v>71.81298652860157</v>
      </c>
      <c r="AC24" s="11">
        <f>AVERAGE(U24:U26)</f>
        <v>55461.504477353323</v>
      </c>
      <c r="AD24" s="26">
        <f>_xlfn.STDEV.S(J24:J26)</f>
        <v>0.30736343236123065</v>
      </c>
      <c r="AE24" s="26">
        <f>_xlfn.STDEV.S(L24:L26)</f>
        <v>34.017812624819541</v>
      </c>
      <c r="AF24" s="26">
        <f>_xlfn.STDEV.S(U24:U26)/1000</f>
        <v>25.34040568033134</v>
      </c>
    </row>
    <row r="25" spans="1:32" x14ac:dyDescent="0.2">
      <c r="C25">
        <v>9</v>
      </c>
      <c r="D25">
        <v>20.000299999999999</v>
      </c>
      <c r="E25">
        <v>41.195300000000003</v>
      </c>
      <c r="F25">
        <v>21.5334</v>
      </c>
      <c r="G25">
        <v>19.803599999999999</v>
      </c>
      <c r="H25">
        <f t="shared" si="7"/>
        <v>21.195000000000004</v>
      </c>
      <c r="I25">
        <f t="shared" si="8"/>
        <v>1.533100000000001</v>
      </c>
      <c r="J25" s="13">
        <f t="shared" si="0"/>
        <v>7.2333097428638862</v>
      </c>
      <c r="K25">
        <f t="shared" si="1"/>
        <v>1.7298000000000009</v>
      </c>
      <c r="L25" s="13">
        <f t="shared" si="2"/>
        <v>112.83021329332723</v>
      </c>
      <c r="O25" s="31"/>
      <c r="P25" s="31"/>
      <c r="S25" s="11"/>
      <c r="T25">
        <f t="shared" si="3"/>
        <v>72333.097428638866</v>
      </c>
      <c r="U25">
        <f t="shared" si="4"/>
        <v>81613.58811040342</v>
      </c>
      <c r="V25">
        <f t="shared" si="9"/>
        <v>81.613588110403413</v>
      </c>
      <c r="AA25" s="13"/>
      <c r="AB25" s="11"/>
      <c r="AC25" s="13">
        <f>AC24/1000</f>
        <v>55.461504477353323</v>
      </c>
      <c r="AD25" s="26"/>
      <c r="AE25" s="26"/>
      <c r="AF25" s="26"/>
    </row>
    <row r="26" spans="1:32" x14ac:dyDescent="0.2">
      <c r="C26">
        <v>6</v>
      </c>
      <c r="D26">
        <v>21.1692</v>
      </c>
      <c r="E26">
        <v>42.208599999999997</v>
      </c>
      <c r="F26">
        <v>22.738600000000002</v>
      </c>
      <c r="G26">
        <v>21.607700000000001</v>
      </c>
      <c r="H26">
        <f>(E26-D26)</f>
        <v>21.039399999999997</v>
      </c>
      <c r="I26">
        <f>(F26-D26)</f>
        <v>1.5694000000000017</v>
      </c>
      <c r="J26" s="13">
        <f t="shared" si="0"/>
        <v>7.4593381940549719</v>
      </c>
      <c r="K26">
        <f t="shared" si="1"/>
        <v>1.1309000000000005</v>
      </c>
      <c r="L26" s="13">
        <f t="shared" si="2"/>
        <v>72.059385752516832</v>
      </c>
      <c r="O26" s="31"/>
      <c r="P26" s="31"/>
      <c r="S26" s="11"/>
      <c r="T26">
        <f t="shared" si="3"/>
        <v>74593.38194054972</v>
      </c>
      <c r="U26">
        <f t="shared" si="4"/>
        <v>53751.532838388957</v>
      </c>
      <c r="V26">
        <f t="shared" si="9"/>
        <v>53.751532838388954</v>
      </c>
      <c r="AA26" s="13"/>
      <c r="AB26" s="11"/>
      <c r="AC26" s="13"/>
      <c r="AD26" s="26"/>
      <c r="AE26" s="26"/>
      <c r="AF26" s="26"/>
    </row>
    <row r="27" spans="1:32" x14ac:dyDescent="0.2">
      <c r="A27" s="30">
        <v>44305</v>
      </c>
      <c r="B27">
        <v>19</v>
      </c>
      <c r="C27" t="s">
        <v>36</v>
      </c>
      <c r="D27">
        <v>24.624199999999998</v>
      </c>
      <c r="E27">
        <v>44.390099999999997</v>
      </c>
      <c r="F27">
        <v>26.032599999999999</v>
      </c>
      <c r="G27">
        <v>24.926600000000001</v>
      </c>
      <c r="H27">
        <f t="shared" si="7"/>
        <v>19.765899999999998</v>
      </c>
      <c r="I27">
        <f t="shared" si="8"/>
        <v>1.4084000000000003</v>
      </c>
      <c r="J27" s="13">
        <f t="shared" si="0"/>
        <v>7.1254028402450711</v>
      </c>
      <c r="K27">
        <f t="shared" si="1"/>
        <v>1.1059999999999981</v>
      </c>
      <c r="L27" s="13">
        <f t="shared" si="2"/>
        <v>78.528827037773212</v>
      </c>
      <c r="M27" s="11">
        <f>AVERAGE(J27:J29)</f>
        <v>7.0847463577058987</v>
      </c>
      <c r="N27" s="11">
        <v>6.9113775456360136</v>
      </c>
      <c r="O27" s="31">
        <f t="shared" si="10"/>
        <v>6.9980619516709561</v>
      </c>
      <c r="P27" s="31">
        <f>(M27/20)</f>
        <v>0.35423731788529494</v>
      </c>
      <c r="Q27" s="11">
        <f>AVERAGE(L27:L29)</f>
        <v>76.956813387600718</v>
      </c>
      <c r="R27" s="11">
        <v>47.136503991172731</v>
      </c>
      <c r="S27" s="11">
        <f t="shared" si="12"/>
        <v>62.046658689386724</v>
      </c>
      <c r="T27">
        <f t="shared" si="3"/>
        <v>71254.028402450713</v>
      </c>
      <c r="U27">
        <f t="shared" si="4"/>
        <v>55954.952721606314</v>
      </c>
      <c r="V27">
        <f t="shared" si="9"/>
        <v>55.954952721606311</v>
      </c>
      <c r="X27">
        <f>(AVERAGE(V27:V29))</f>
        <v>54.559291161195752</v>
      </c>
      <c r="Y27">
        <v>33.002520009703517</v>
      </c>
      <c r="Z27">
        <f t="shared" si="11"/>
        <v>43.780905585449631</v>
      </c>
      <c r="AA27" s="11">
        <f>AVERAGE(T27:T29)</f>
        <v>70847.463577058981</v>
      </c>
      <c r="AB27" s="11">
        <f t="shared" si="6"/>
        <v>70.847463577058974</v>
      </c>
      <c r="AC27" s="11">
        <f>AVERAGE(U27:U29)</f>
        <v>54559.291161195761</v>
      </c>
      <c r="AD27" s="26">
        <f>_xlfn.STDEV.S(J27:J29)</f>
        <v>0.32581071367770037</v>
      </c>
      <c r="AE27" s="26">
        <f>_xlfn.STDEV.S(L27:L29)</f>
        <v>2.0865856668556346</v>
      </c>
      <c r="AF27" s="26">
        <f>_xlfn.STDEV.S(U27:U29)/1000</f>
        <v>3.782576574658822</v>
      </c>
    </row>
    <row r="28" spans="1:32" x14ac:dyDescent="0.2">
      <c r="C28" t="s">
        <v>31</v>
      </c>
      <c r="D28">
        <v>25.593299999999999</v>
      </c>
      <c r="E28">
        <v>44.318800000000003</v>
      </c>
      <c r="F28">
        <v>26.976800000000001</v>
      </c>
      <c r="G28">
        <v>25.9011</v>
      </c>
      <c r="H28">
        <f t="shared" si="7"/>
        <v>18.725500000000004</v>
      </c>
      <c r="I28">
        <f t="shared" si="8"/>
        <v>1.3835000000000015</v>
      </c>
      <c r="J28" s="13">
        <f t="shared" si="0"/>
        <v>7.388320739099095</v>
      </c>
      <c r="K28">
        <f t="shared" si="1"/>
        <v>1.0757000000000012</v>
      </c>
      <c r="L28" s="13">
        <f t="shared" si="2"/>
        <v>77.752078062883996</v>
      </c>
      <c r="O28" s="31"/>
      <c r="P28" s="31"/>
      <c r="Q28" s="11"/>
      <c r="R28" s="11"/>
      <c r="S28" s="11"/>
      <c r="T28">
        <f t="shared" si="3"/>
        <v>73883.207390990952</v>
      </c>
      <c r="U28">
        <f t="shared" si="4"/>
        <v>57445.729086005769</v>
      </c>
      <c r="V28">
        <f t="shared" si="9"/>
        <v>57.44572908600577</v>
      </c>
      <c r="AA28" s="13"/>
      <c r="AB28" s="11"/>
      <c r="AC28" s="13">
        <f>AC27/1000</f>
        <v>54.559291161195759</v>
      </c>
      <c r="AD28" s="26"/>
      <c r="AE28" s="26"/>
      <c r="AF28" s="26"/>
    </row>
    <row r="29" spans="1:32" x14ac:dyDescent="0.2">
      <c r="C29" t="s">
        <v>82</v>
      </c>
      <c r="D29">
        <v>25.651599999999998</v>
      </c>
      <c r="E29">
        <v>44.988399999999999</v>
      </c>
      <c r="F29">
        <v>26.954999999999998</v>
      </c>
      <c r="G29">
        <v>25.982800000000001</v>
      </c>
      <c r="H29">
        <f t="shared" si="7"/>
        <v>19.3368</v>
      </c>
      <c r="I29">
        <f t="shared" si="8"/>
        <v>1.3033999999999999</v>
      </c>
      <c r="J29" s="13">
        <f t="shared" si="0"/>
        <v>6.7405154937735299</v>
      </c>
      <c r="K29">
        <f t="shared" si="1"/>
        <v>0.97219999999999729</v>
      </c>
      <c r="L29" s="13">
        <f t="shared" si="2"/>
        <v>74.589535062144947</v>
      </c>
      <c r="O29" s="31"/>
      <c r="P29" s="31"/>
      <c r="Q29" s="11"/>
      <c r="R29" s="11"/>
      <c r="S29" s="11"/>
      <c r="T29">
        <f t="shared" si="3"/>
        <v>67405.154937735308</v>
      </c>
      <c r="U29">
        <f t="shared" si="4"/>
        <v>50277.191675975198</v>
      </c>
      <c r="V29">
        <f t="shared" si="9"/>
        <v>50.277191675975196</v>
      </c>
      <c r="AA29" s="13"/>
      <c r="AB29" s="11"/>
      <c r="AC29" s="13"/>
      <c r="AD29" s="26"/>
      <c r="AE29" s="26"/>
      <c r="AF29" s="26"/>
    </row>
    <row r="30" spans="1:32" x14ac:dyDescent="0.2">
      <c r="A30" s="30">
        <v>44307</v>
      </c>
      <c r="B30">
        <v>21</v>
      </c>
      <c r="C30" t="s">
        <v>30</v>
      </c>
      <c r="D30">
        <v>24.51</v>
      </c>
      <c r="E30">
        <v>47.534999999999997</v>
      </c>
      <c r="F30">
        <v>25.954699999999999</v>
      </c>
      <c r="G30">
        <v>25.0364</v>
      </c>
      <c r="H30">
        <f t="shared" si="7"/>
        <v>23.024999999999995</v>
      </c>
      <c r="I30">
        <f t="shared" si="8"/>
        <v>1.4446999999999974</v>
      </c>
      <c r="J30" s="13">
        <f t="shared" si="0"/>
        <v>6.2744842562432037</v>
      </c>
      <c r="K30">
        <f t="shared" si="1"/>
        <v>0.91829999999999856</v>
      </c>
      <c r="L30" s="13">
        <f t="shared" si="2"/>
        <v>63.563369557693647</v>
      </c>
      <c r="M30" s="11">
        <f>AVERAGE(J30:J32)</f>
        <v>6.3585500689555312</v>
      </c>
      <c r="N30" s="11">
        <v>6.6539441120228018</v>
      </c>
      <c r="O30" s="31">
        <f t="shared" si="10"/>
        <v>6.5062470904891665</v>
      </c>
      <c r="P30" s="31">
        <f>(M30/20)</f>
        <v>0.31792750344777654</v>
      </c>
      <c r="Q30" s="11">
        <f>AVERAGE(L30:L32)</f>
        <v>64.326171125612191</v>
      </c>
      <c r="R30" s="11">
        <v>62.658075337900335</v>
      </c>
      <c r="S30" s="11">
        <f t="shared" si="12"/>
        <v>63.492123231756267</v>
      </c>
      <c r="T30">
        <f t="shared" si="3"/>
        <v>62744.842562432037</v>
      </c>
      <c r="U30">
        <f t="shared" si="4"/>
        <v>39882.736156351741</v>
      </c>
      <c r="V30">
        <f t="shared" si="9"/>
        <v>39.88273615635174</v>
      </c>
      <c r="X30">
        <f>(AVERAGE(V30:V32))</f>
        <v>40.905607304893898</v>
      </c>
      <c r="Y30">
        <v>41.775611641701857</v>
      </c>
      <c r="Z30">
        <f t="shared" si="11"/>
        <v>41.340609473297874</v>
      </c>
      <c r="AA30" s="11">
        <f>AVERAGE(T30:T32)</f>
        <v>63585.500689555316</v>
      </c>
      <c r="AB30" s="11">
        <f t="shared" si="6"/>
        <v>63.585500689555317</v>
      </c>
      <c r="AC30" s="11">
        <f>AVERAGE(U30:U32)</f>
        <v>40905.607304893892</v>
      </c>
      <c r="AD30" s="26">
        <f>_xlfn.STDEV.S(J30:J32)</f>
        <v>7.5651256395368682E-2</v>
      </c>
      <c r="AE30" s="26">
        <f>_xlfn.STDEV.S(L30:L32)</f>
        <v>0.69212121221236222</v>
      </c>
      <c r="AF30" s="26">
        <f>_xlfn.STDEV.S(U30:U32)/1000</f>
        <v>0.92468161635254476</v>
      </c>
    </row>
    <row r="31" spans="1:32" x14ac:dyDescent="0.2">
      <c r="C31" t="s">
        <v>35</v>
      </c>
      <c r="D31">
        <v>24.616599999999998</v>
      </c>
      <c r="E31">
        <v>47.488</v>
      </c>
      <c r="F31">
        <v>26.075800000000001</v>
      </c>
      <c r="G31">
        <v>25.134599999999999</v>
      </c>
      <c r="H31">
        <f t="shared" si="7"/>
        <v>22.871400000000001</v>
      </c>
      <c r="I31">
        <f t="shared" si="8"/>
        <v>1.4592000000000027</v>
      </c>
      <c r="J31" s="13">
        <f t="shared" si="0"/>
        <v>6.3800204622366907</v>
      </c>
      <c r="K31">
        <f t="shared" si="1"/>
        <v>0.94120000000000203</v>
      </c>
      <c r="L31" s="13">
        <f t="shared" si="2"/>
        <v>64.501096491228097</v>
      </c>
      <c r="O31" s="31"/>
      <c r="P31" s="31"/>
      <c r="S31" s="11"/>
      <c r="T31">
        <f t="shared" si="3"/>
        <v>63800.204622366909</v>
      </c>
      <c r="U31">
        <f t="shared" si="4"/>
        <v>41151.831545073845</v>
      </c>
      <c r="V31">
        <f t="shared" si="9"/>
        <v>41.151831545073847</v>
      </c>
      <c r="AA31" s="13"/>
      <c r="AB31" s="11"/>
      <c r="AC31" s="13">
        <f>AC30/1000</f>
        <v>40.905607304893891</v>
      </c>
      <c r="AD31" s="26"/>
      <c r="AE31" s="26"/>
      <c r="AF31" s="26"/>
    </row>
    <row r="32" spans="1:32" x14ac:dyDescent="0.2">
      <c r="C32" t="s">
        <v>83</v>
      </c>
      <c r="D32">
        <v>25.5215</v>
      </c>
      <c r="E32">
        <v>47.173400000000001</v>
      </c>
      <c r="F32">
        <v>26.911799999999999</v>
      </c>
      <c r="G32">
        <v>26.0093</v>
      </c>
      <c r="H32">
        <f t="shared" si="7"/>
        <v>21.651900000000001</v>
      </c>
      <c r="I32">
        <f t="shared" si="8"/>
        <v>1.3902999999999999</v>
      </c>
      <c r="J32" s="13">
        <f t="shared" si="0"/>
        <v>6.4211454883866992</v>
      </c>
      <c r="K32">
        <f t="shared" si="1"/>
        <v>0.90249999999999986</v>
      </c>
      <c r="L32" s="13">
        <f t="shared" si="2"/>
        <v>64.91404732791483</v>
      </c>
      <c r="O32" s="31"/>
      <c r="P32" s="31"/>
      <c r="S32" s="11"/>
      <c r="T32">
        <f t="shared" si="3"/>
        <v>64211.454883866994</v>
      </c>
      <c r="U32">
        <f t="shared" si="4"/>
        <v>41682.254213256099</v>
      </c>
      <c r="V32">
        <f t="shared" si="9"/>
        <v>41.682254213256101</v>
      </c>
      <c r="AA32" s="13"/>
      <c r="AB32" s="11"/>
      <c r="AC32" s="13"/>
      <c r="AD32" s="26"/>
      <c r="AE32" s="26"/>
      <c r="AF32" s="26"/>
    </row>
    <row r="33" spans="1:32" x14ac:dyDescent="0.2">
      <c r="A33" s="30">
        <v>44309</v>
      </c>
      <c r="B33">
        <v>23</v>
      </c>
      <c r="C33" t="s">
        <v>40</v>
      </c>
      <c r="D33">
        <v>23.893999999999998</v>
      </c>
      <c r="E33">
        <v>45.496600000000001</v>
      </c>
      <c r="F33">
        <v>25.195799999999998</v>
      </c>
      <c r="G33">
        <v>24.38</v>
      </c>
      <c r="H33">
        <f t="shared" si="7"/>
        <v>21.602600000000002</v>
      </c>
      <c r="I33">
        <f t="shared" si="8"/>
        <v>1.3018000000000001</v>
      </c>
      <c r="J33" s="13">
        <f t="shared" si="0"/>
        <v>6.0261264847749807</v>
      </c>
      <c r="K33">
        <f t="shared" si="1"/>
        <v>0.81579999999999941</v>
      </c>
      <c r="L33" s="13">
        <f t="shared" si="2"/>
        <v>62.667076355814977</v>
      </c>
      <c r="M33" s="11">
        <f>AVERAGE(J33:J35)</f>
        <v>6.0465856586325879</v>
      </c>
      <c r="N33" s="11">
        <v>6.2994575338406902</v>
      </c>
      <c r="O33" s="31">
        <f t="shared" si="10"/>
        <v>6.173021596236639</v>
      </c>
      <c r="P33" s="31">
        <f>(M33/20)</f>
        <v>0.30232928293162942</v>
      </c>
      <c r="Q33" s="11">
        <f>AVERAGE(L33:L35)</f>
        <v>64.440688132312872</v>
      </c>
      <c r="R33" s="11">
        <v>61.647415261164063</v>
      </c>
      <c r="S33" s="11">
        <f t="shared" si="12"/>
        <v>63.044051696738464</v>
      </c>
      <c r="T33">
        <f t="shared" si="3"/>
        <v>60261.264847749801</v>
      </c>
      <c r="U33">
        <f t="shared" si="4"/>
        <v>37763.97285511926</v>
      </c>
      <c r="V33">
        <f t="shared" si="9"/>
        <v>37.763972855119263</v>
      </c>
      <c r="X33">
        <f>(AVERAGE(V33:V35))</f>
        <v>38.966101799022937</v>
      </c>
      <c r="Y33">
        <v>38.838119373188974</v>
      </c>
      <c r="Z33">
        <f t="shared" si="11"/>
        <v>38.902110586105955</v>
      </c>
      <c r="AA33" s="11">
        <f>AVERAGE(T33:T35)</f>
        <v>60465.856586325885</v>
      </c>
      <c r="AB33" s="11">
        <f t="shared" si="6"/>
        <v>60.465856586325884</v>
      </c>
      <c r="AC33" s="11">
        <f>AVERAGE(U33:U35)</f>
        <v>38966.10179902293</v>
      </c>
      <c r="AD33" s="26">
        <f>_xlfn.STDEV.S(J33:J35)</f>
        <v>1.7837845848381696E-2</v>
      </c>
      <c r="AE33" s="26">
        <f>_xlfn.STDEV.S(L33:L35)</f>
        <v>2.8283001176961626</v>
      </c>
      <c r="AF33" s="26">
        <f>_xlfn.STDEV.S(U33:U35)/1000</f>
        <v>1.7647339348499784</v>
      </c>
    </row>
    <row r="34" spans="1:32" x14ac:dyDescent="0.2">
      <c r="C34">
        <v>6</v>
      </c>
      <c r="D34">
        <v>21.165299999999998</v>
      </c>
      <c r="E34">
        <v>41.858899999999998</v>
      </c>
      <c r="F34">
        <v>22.4191</v>
      </c>
      <c r="G34">
        <v>21.629799999999999</v>
      </c>
      <c r="H34">
        <f t="shared" si="7"/>
        <v>20.6936</v>
      </c>
      <c r="I34">
        <f t="shared" si="8"/>
        <v>1.2538000000000018</v>
      </c>
      <c r="J34" s="13">
        <f t="shared" si="0"/>
        <v>6.0588781072408953</v>
      </c>
      <c r="K34">
        <f t="shared" si="1"/>
        <v>0.78930000000000078</v>
      </c>
      <c r="L34" s="13">
        <f t="shared" si="2"/>
        <v>62.952624022970141</v>
      </c>
      <c r="O34" s="31"/>
      <c r="P34" s="31"/>
      <c r="S34" s="11"/>
      <c r="T34">
        <f t="shared" si="3"/>
        <v>60588.78107240895</v>
      </c>
      <c r="U34">
        <f t="shared" si="4"/>
        <v>38142.227548614101</v>
      </c>
      <c r="V34">
        <f t="shared" si="9"/>
        <v>38.142227548614102</v>
      </c>
      <c r="AA34" s="13"/>
      <c r="AB34" s="11"/>
      <c r="AC34" s="13">
        <f>AC33/1000</f>
        <v>38.96610179902293</v>
      </c>
      <c r="AD34" s="26"/>
      <c r="AE34" s="26"/>
      <c r="AF34" s="26"/>
    </row>
    <row r="35" spans="1:32" x14ac:dyDescent="0.2">
      <c r="C35" t="s">
        <v>84</v>
      </c>
      <c r="D35">
        <v>25.648599999999998</v>
      </c>
      <c r="E35">
        <v>50.031100000000002</v>
      </c>
      <c r="F35">
        <v>27.1249</v>
      </c>
      <c r="G35">
        <v>26.125409999999999</v>
      </c>
      <c r="H35">
        <f t="shared" si="7"/>
        <v>24.382500000000004</v>
      </c>
      <c r="I35">
        <f t="shared" si="8"/>
        <v>1.4763000000000019</v>
      </c>
      <c r="J35" s="13">
        <f t="shared" si="0"/>
        <v>6.0547523838818895</v>
      </c>
      <c r="K35">
        <f t="shared" ref="K35:K66" si="13">I35-(G35-D35)</f>
        <v>0.99949000000000154</v>
      </c>
      <c r="L35" s="13">
        <f t="shared" ref="L35:L66" si="14">(K35/I35)*100</f>
        <v>67.702364018153503</v>
      </c>
      <c r="O35" s="31"/>
      <c r="P35" s="31"/>
      <c r="S35" s="11"/>
      <c r="T35">
        <f t="shared" si="3"/>
        <v>60547.523838818895</v>
      </c>
      <c r="U35">
        <f t="shared" si="4"/>
        <v>40992.104993335444</v>
      </c>
      <c r="V35">
        <f t="shared" si="9"/>
        <v>40.992104993335445</v>
      </c>
      <c r="AA35" s="13"/>
      <c r="AB35" s="11"/>
      <c r="AC35" s="13"/>
      <c r="AD35" s="26"/>
      <c r="AE35" s="26"/>
      <c r="AF35" s="26"/>
    </row>
    <row r="36" spans="1:32" x14ac:dyDescent="0.2">
      <c r="A36" s="30">
        <v>44312</v>
      </c>
      <c r="B36">
        <v>26</v>
      </c>
      <c r="C36" t="s">
        <v>85</v>
      </c>
      <c r="D36">
        <v>38.881799999999998</v>
      </c>
      <c r="E36">
        <v>62.628700000000002</v>
      </c>
      <c r="F36">
        <v>40.258099999999999</v>
      </c>
      <c r="G36">
        <v>39.988599999999998</v>
      </c>
      <c r="H36">
        <f>(E36-D36)</f>
        <v>23.746900000000004</v>
      </c>
      <c r="I36">
        <f t="shared" si="8"/>
        <v>1.3763000000000005</v>
      </c>
      <c r="J36" s="13">
        <f t="shared" si="0"/>
        <v>5.7957038602933446</v>
      </c>
      <c r="K36">
        <f t="shared" si="13"/>
        <v>0.26950000000000074</v>
      </c>
      <c r="L36" s="13">
        <f t="shared" si="14"/>
        <v>19.581486594492524</v>
      </c>
      <c r="M36" s="11">
        <f>AVERAGE(J36:J38)</f>
        <v>5.7095282455292002</v>
      </c>
      <c r="N36" s="11">
        <v>5.7721435700733821</v>
      </c>
      <c r="O36" s="31">
        <f t="shared" si="10"/>
        <v>5.7408359078012907</v>
      </c>
      <c r="P36" s="31">
        <f>(M36/20)</f>
        <v>0.28547641227646003</v>
      </c>
      <c r="Q36" s="11">
        <f>AVERAGE(L36:L38)</f>
        <v>58.004164020268369</v>
      </c>
      <c r="R36" s="11">
        <v>64.743125675848077</v>
      </c>
      <c r="S36" s="11">
        <f t="shared" si="12"/>
        <v>61.37364484805822</v>
      </c>
      <c r="T36">
        <f t="shared" si="3"/>
        <v>57957.038602933448</v>
      </c>
      <c r="U36">
        <f t="shared" si="4"/>
        <v>11348.849744598272</v>
      </c>
      <c r="V36">
        <f t="shared" si="9"/>
        <v>11.348849744598272</v>
      </c>
      <c r="X36">
        <f>(AVERAGE(V36:V38))</f>
        <v>33.15415671558754</v>
      </c>
      <c r="Y36">
        <v>37.368576654215225</v>
      </c>
      <c r="Z36">
        <f t="shared" si="11"/>
        <v>35.261366684901382</v>
      </c>
      <c r="AA36" s="11">
        <f>AVERAGE(T36:T38)</f>
        <v>57095.282455292014</v>
      </c>
      <c r="AB36" s="11">
        <f t="shared" si="6"/>
        <v>57.095282455292015</v>
      </c>
      <c r="AC36" s="11">
        <f>AVERAGE(U36:U38)</f>
        <v>33154.156715587538</v>
      </c>
      <c r="AD36" s="26">
        <f>_xlfn.STDEV.S(J36:J38)</f>
        <v>0.22594914586655351</v>
      </c>
      <c r="AE36" s="26">
        <f>_xlfn.STDEV.S(L36:L38)</f>
        <v>36.183132966571733</v>
      </c>
      <c r="AF36" s="26">
        <f>_xlfn.STDEV.S(U36:U38)/1000</f>
        <v>21.229607091192911</v>
      </c>
    </row>
    <row r="37" spans="1:32" x14ac:dyDescent="0.2">
      <c r="C37" t="s">
        <v>86</v>
      </c>
      <c r="D37">
        <v>43.762999999999998</v>
      </c>
      <c r="E37">
        <v>66.271000000000001</v>
      </c>
      <c r="F37">
        <v>44.990400000000001</v>
      </c>
      <c r="G37">
        <v>44.217100000000002</v>
      </c>
      <c r="H37">
        <f t="shared" si="7"/>
        <v>22.508000000000003</v>
      </c>
      <c r="I37">
        <f t="shared" si="8"/>
        <v>1.2274000000000029</v>
      </c>
      <c r="J37" s="13">
        <f t="shared" si="0"/>
        <v>5.4531722054380793</v>
      </c>
      <c r="K37">
        <f t="shared" si="13"/>
        <v>0.77329999999999899</v>
      </c>
      <c r="L37" s="13">
        <f t="shared" si="14"/>
        <v>63.003095975231957</v>
      </c>
      <c r="O37" s="31"/>
      <c r="P37" s="31"/>
      <c r="S37" s="11"/>
      <c r="T37">
        <f t="shared" si="3"/>
        <v>54531.722054380793</v>
      </c>
      <c r="U37">
        <f t="shared" si="4"/>
        <v>34356.673182868268</v>
      </c>
      <c r="V37">
        <f t="shared" si="9"/>
        <v>34.356673182868271</v>
      </c>
      <c r="AA37" s="13"/>
      <c r="AB37" s="11"/>
      <c r="AC37" s="13">
        <f>AC36/1000</f>
        <v>33.15415671558754</v>
      </c>
      <c r="AD37" s="26"/>
      <c r="AE37" s="26"/>
      <c r="AF37" s="26"/>
    </row>
    <row r="38" spans="1:32" x14ac:dyDescent="0.2">
      <c r="C38" t="s">
        <v>87</v>
      </c>
      <c r="D38">
        <v>52.235900000000001</v>
      </c>
      <c r="E38">
        <v>74.259100000000004</v>
      </c>
      <c r="F38">
        <v>53.530799999999999</v>
      </c>
      <c r="G38">
        <v>52.346899999999998</v>
      </c>
      <c r="H38">
        <f t="shared" si="7"/>
        <v>22.023200000000003</v>
      </c>
      <c r="I38">
        <f t="shared" si="8"/>
        <v>1.2948999999999984</v>
      </c>
      <c r="J38" s="13">
        <f t="shared" si="0"/>
        <v>5.8797086708561794</v>
      </c>
      <c r="K38">
        <f t="shared" si="13"/>
        <v>1.1839000000000013</v>
      </c>
      <c r="L38" s="13">
        <f t="shared" si="14"/>
        <v>91.427909491080612</v>
      </c>
      <c r="O38" s="31"/>
      <c r="P38" s="31"/>
      <c r="S38" s="11"/>
      <c r="T38">
        <f t="shared" si="3"/>
        <v>58797.086708561801</v>
      </c>
      <c r="U38">
        <f t="shared" si="4"/>
        <v>53756.947219296067</v>
      </c>
      <c r="V38">
        <f t="shared" si="9"/>
        <v>53.756947219296066</v>
      </c>
      <c r="AA38" s="13"/>
      <c r="AB38" s="11"/>
      <c r="AC38" s="13"/>
      <c r="AD38" s="26"/>
      <c r="AE38" s="26"/>
      <c r="AF38" s="26"/>
    </row>
    <row r="39" spans="1:32" x14ac:dyDescent="0.2">
      <c r="A39" s="30">
        <v>44314</v>
      </c>
      <c r="B39" s="35">
        <v>28</v>
      </c>
      <c r="C39" t="s">
        <v>85</v>
      </c>
      <c r="D39">
        <v>38.838700000000003</v>
      </c>
      <c r="E39">
        <v>61.495899999999999</v>
      </c>
      <c r="F39">
        <v>40.288200000000003</v>
      </c>
      <c r="G39">
        <v>39.372199999999999</v>
      </c>
      <c r="H39">
        <f t="shared" si="7"/>
        <v>22.657199999999996</v>
      </c>
      <c r="I39">
        <f t="shared" si="8"/>
        <v>1.4495000000000005</v>
      </c>
      <c r="J39" s="13">
        <f t="shared" si="0"/>
        <v>6.3975248486132479</v>
      </c>
      <c r="K39">
        <f t="shared" si="13"/>
        <v>0.91600000000000392</v>
      </c>
      <c r="L39" s="13">
        <f t="shared" si="14"/>
        <v>63.194204898241026</v>
      </c>
      <c r="M39" s="11">
        <f>AVERAGE(J39:J41)</f>
        <v>6.297516877433142</v>
      </c>
      <c r="N39" s="11">
        <v>6.2502164624350849</v>
      </c>
      <c r="O39" s="31">
        <f t="shared" si="10"/>
        <v>6.2738666699341135</v>
      </c>
      <c r="P39" s="31">
        <f>(M39/20)</f>
        <v>0.31487584387165712</v>
      </c>
      <c r="Q39" s="11">
        <f>AVERAGE(L39:L41)</f>
        <v>65.364721709795276</v>
      </c>
      <c r="R39" s="11">
        <v>61.43579010957405</v>
      </c>
      <c r="S39" s="11">
        <f t="shared" si="12"/>
        <v>63.40025590968466</v>
      </c>
      <c r="T39">
        <f t="shared" si="3"/>
        <v>63975.248486132477</v>
      </c>
      <c r="U39">
        <f t="shared" si="4"/>
        <v>40428.649612485395</v>
      </c>
      <c r="V39">
        <f t="shared" si="9"/>
        <v>40.428649612485394</v>
      </c>
      <c r="X39">
        <f>(AVERAGE(V39:V41))</f>
        <v>41.134225641774684</v>
      </c>
      <c r="Y39">
        <v>38.416993234669384</v>
      </c>
      <c r="Z39">
        <f t="shared" si="11"/>
        <v>39.775609438222034</v>
      </c>
      <c r="AA39" s="11">
        <f>AVERAGE(T39:T41)</f>
        <v>62975.168774331418</v>
      </c>
      <c r="AB39" s="11">
        <f t="shared" si="6"/>
        <v>62.975168774331415</v>
      </c>
      <c r="AC39" s="11">
        <f>AVERAGE(U39:U41)</f>
        <v>41134.225641774683</v>
      </c>
      <c r="AD39" s="26">
        <f>_xlfn.STDEV.S(J39:J41)</f>
        <v>0.41076821398644114</v>
      </c>
      <c r="AE39" s="26">
        <f>_xlfn.STDEV.S(L39:L41)</f>
        <v>2.002287966115929</v>
      </c>
      <c r="AF39" s="26">
        <f>_xlfn.STDEV.S(U39:U41)/1000</f>
        <v>2.3191934920052817</v>
      </c>
    </row>
    <row r="40" spans="1:32" x14ac:dyDescent="0.2">
      <c r="C40" t="s">
        <v>91</v>
      </c>
      <c r="D40">
        <v>42.276600000000002</v>
      </c>
      <c r="E40">
        <v>65.176100000000005</v>
      </c>
      <c r="F40">
        <v>43.615299999999998</v>
      </c>
      <c r="G40">
        <v>42.716500000000003</v>
      </c>
      <c r="H40">
        <f t="shared" si="7"/>
        <v>22.899500000000003</v>
      </c>
      <c r="I40">
        <f t="shared" si="8"/>
        <v>1.3386999999999958</v>
      </c>
      <c r="J40" s="13">
        <f t="shared" si="0"/>
        <v>5.8459791698508505</v>
      </c>
      <c r="K40">
        <f t="shared" si="13"/>
        <v>0.89879999999999427</v>
      </c>
      <c r="L40" s="13">
        <f t="shared" si="14"/>
        <v>67.139762456113928</v>
      </c>
      <c r="M40" s="11"/>
      <c r="N40" s="11"/>
      <c r="O40" s="31"/>
      <c r="P40" s="31"/>
      <c r="Q40" s="11"/>
      <c r="R40" s="11"/>
      <c r="S40" s="11"/>
      <c r="T40">
        <f t="shared" si="3"/>
        <v>58459.791698508503</v>
      </c>
      <c r="U40">
        <f t="shared" si="4"/>
        <v>39249.765278717619</v>
      </c>
      <c r="V40">
        <f t="shared" si="9"/>
        <v>39.249765278717618</v>
      </c>
      <c r="AA40" s="11"/>
      <c r="AB40" s="11"/>
      <c r="AC40" s="11">
        <f>AC39/1000</f>
        <v>41.134225641774684</v>
      </c>
      <c r="AD40" s="26"/>
      <c r="AE40" s="26"/>
      <c r="AF40" s="26"/>
    </row>
    <row r="41" spans="1:32" x14ac:dyDescent="0.2">
      <c r="C41" t="s">
        <v>86</v>
      </c>
      <c r="D41">
        <v>43.673900000000003</v>
      </c>
      <c r="E41">
        <v>66.791499999999999</v>
      </c>
      <c r="F41">
        <v>45.210999999999999</v>
      </c>
      <c r="G41">
        <v>44.200200000000002</v>
      </c>
      <c r="H41">
        <f t="shared" si="7"/>
        <v>23.117599999999996</v>
      </c>
      <c r="I41">
        <f t="shared" si="8"/>
        <v>1.5370999999999952</v>
      </c>
      <c r="J41" s="13">
        <f t="shared" si="0"/>
        <v>6.6490466138353268</v>
      </c>
      <c r="K41">
        <f t="shared" si="13"/>
        <v>1.0107999999999961</v>
      </c>
      <c r="L41" s="13">
        <f t="shared" si="14"/>
        <v>65.760197775030861</v>
      </c>
      <c r="M41" s="11"/>
      <c r="N41" s="11"/>
      <c r="O41" s="31"/>
      <c r="P41" s="31"/>
      <c r="Q41" s="11"/>
      <c r="R41" s="11"/>
      <c r="S41" s="11"/>
      <c r="T41">
        <f t="shared" si="3"/>
        <v>66490.466138353266</v>
      </c>
      <c r="U41">
        <f t="shared" si="4"/>
        <v>43724.262034121035</v>
      </c>
      <c r="V41">
        <f t="shared" si="9"/>
        <v>43.724262034121033</v>
      </c>
      <c r="AA41" s="11"/>
      <c r="AB41" s="11"/>
      <c r="AC41" s="11"/>
      <c r="AD41" s="26"/>
      <c r="AE41" s="26"/>
      <c r="AF41" s="26"/>
    </row>
    <row r="42" spans="1:32" x14ac:dyDescent="0.2">
      <c r="A42" s="30">
        <v>44316</v>
      </c>
      <c r="B42">
        <v>30</v>
      </c>
      <c r="C42" t="s">
        <v>84</v>
      </c>
      <c r="D42">
        <v>25.656700000000001</v>
      </c>
      <c r="E42">
        <v>49.776299999999999</v>
      </c>
      <c r="F42">
        <v>27.160299999999999</v>
      </c>
      <c r="G42">
        <v>26.2028</v>
      </c>
      <c r="H42">
        <f t="shared" si="7"/>
        <v>24.119599999999998</v>
      </c>
      <c r="I42">
        <f t="shared" si="8"/>
        <v>1.5035999999999987</v>
      </c>
      <c r="J42" s="13">
        <f t="shared" si="0"/>
        <v>6.2339342277649665</v>
      </c>
      <c r="K42">
        <f t="shared" si="13"/>
        <v>0.95749999999999957</v>
      </c>
      <c r="L42" s="13">
        <f t="shared" si="14"/>
        <v>63.680500133014128</v>
      </c>
      <c r="M42" s="11">
        <f>AVERAGE(J42:J44)</f>
        <v>6.0247789607310098</v>
      </c>
      <c r="N42" s="11">
        <v>6.1545645397615116</v>
      </c>
      <c r="O42" s="31">
        <f t="shared" si="10"/>
        <v>6.0896717502462607</v>
      </c>
      <c r="P42" s="31">
        <f>(M42/20)</f>
        <v>0.30123894803655049</v>
      </c>
      <c r="Q42" s="11">
        <f>AVERAGE(L42:L44)</f>
        <v>63.239193955006691</v>
      </c>
      <c r="R42" s="11">
        <v>60.36587656568161</v>
      </c>
      <c r="S42" s="11">
        <f t="shared" si="12"/>
        <v>61.80253526034415</v>
      </c>
      <c r="T42">
        <f t="shared" si="3"/>
        <v>62339.342277649666</v>
      </c>
      <c r="U42">
        <f t="shared" si="4"/>
        <v>39698.004942038824</v>
      </c>
      <c r="V42">
        <f t="shared" si="9"/>
        <v>39.698004942038821</v>
      </c>
      <c r="X42">
        <f>(AVERAGE(V42:V44))</f>
        <v>38.11448439725109</v>
      </c>
      <c r="Y42">
        <v>37.184095241465918</v>
      </c>
      <c r="Z42">
        <f t="shared" si="11"/>
        <v>37.649289819358501</v>
      </c>
      <c r="AA42" s="11">
        <f>AVERAGE(T42:T44)</f>
        <v>60247.789607310107</v>
      </c>
      <c r="AB42" s="11">
        <f t="shared" si="6"/>
        <v>60.247789607310111</v>
      </c>
      <c r="AC42" s="11">
        <f>AVERAGE(U42:U44)</f>
        <v>38114.484397251093</v>
      </c>
      <c r="AD42" s="26">
        <f>_xlfn.STDEV.S(J42:J44)</f>
        <v>0.22982703921788697</v>
      </c>
      <c r="AE42" s="26">
        <f>_xlfn.STDEV.S(L42:L44)</f>
        <v>1.0925757184752181</v>
      </c>
      <c r="AF42" s="26">
        <f t="shared" ref="AF42:AF105" si="15">_xlfn.STDEV.S(U42:U44)/1000</f>
        <v>2.0305015315156472</v>
      </c>
    </row>
    <row r="43" spans="1:32" x14ac:dyDescent="0.2">
      <c r="A43" s="30"/>
      <c r="C43" t="s">
        <v>92</v>
      </c>
      <c r="D43">
        <v>49.301499999999997</v>
      </c>
      <c r="E43">
        <v>71.403199999999998</v>
      </c>
      <c r="F43">
        <v>50.578699999999998</v>
      </c>
      <c r="G43">
        <v>49.786900000000003</v>
      </c>
      <c r="H43">
        <f t="shared" si="7"/>
        <v>22.101700000000001</v>
      </c>
      <c r="I43">
        <f t="shared" si="8"/>
        <v>1.2772000000000006</v>
      </c>
      <c r="J43" s="13">
        <f t="shared" si="0"/>
        <v>5.7787410018233913</v>
      </c>
      <c r="K43">
        <f t="shared" si="13"/>
        <v>0.79179999999999495</v>
      </c>
      <c r="L43" s="13">
        <f t="shared" si="14"/>
        <v>61.994989038521339</v>
      </c>
      <c r="M43" s="11"/>
      <c r="N43" s="11"/>
      <c r="O43" s="31"/>
      <c r="P43" s="31"/>
      <c r="Q43" s="11"/>
      <c r="R43" s="11"/>
      <c r="S43" s="11"/>
      <c r="T43">
        <f t="shared" si="3"/>
        <v>57787.41001823391</v>
      </c>
      <c r="U43">
        <f t="shared" si="4"/>
        <v>35825.298506449501</v>
      </c>
      <c r="V43">
        <f t="shared" si="9"/>
        <v>35.825298506449499</v>
      </c>
      <c r="AA43" s="11"/>
      <c r="AB43" s="11"/>
      <c r="AC43" s="11">
        <f>AC42/1000</f>
        <v>38.114484397251097</v>
      </c>
      <c r="AD43" s="26"/>
      <c r="AE43" s="26"/>
      <c r="AF43" s="26"/>
    </row>
    <row r="44" spans="1:32" x14ac:dyDescent="0.2">
      <c r="A44" s="30"/>
      <c r="C44">
        <v>4</v>
      </c>
      <c r="D44">
        <v>20.010100000000001</v>
      </c>
      <c r="E44">
        <v>42.114600000000003</v>
      </c>
      <c r="F44">
        <v>21.35</v>
      </c>
      <c r="G44">
        <v>20.491900000000001</v>
      </c>
      <c r="H44">
        <f t="shared" si="7"/>
        <v>22.104500000000002</v>
      </c>
      <c r="I44">
        <f t="shared" si="8"/>
        <v>1.3399000000000001</v>
      </c>
      <c r="J44" s="13">
        <f t="shared" si="0"/>
        <v>6.0616616526046734</v>
      </c>
      <c r="K44">
        <f t="shared" si="13"/>
        <v>0.85810000000000031</v>
      </c>
      <c r="L44" s="13">
        <f t="shared" si="14"/>
        <v>64.042092693484605</v>
      </c>
      <c r="M44" s="11"/>
      <c r="N44" s="11"/>
      <c r="O44" s="31"/>
      <c r="P44" s="31"/>
      <c r="Q44" s="11"/>
      <c r="R44" s="11"/>
      <c r="S44" s="11"/>
      <c r="T44">
        <f t="shared" si="3"/>
        <v>60616.616526046731</v>
      </c>
      <c r="U44">
        <f t="shared" si="4"/>
        <v>38820.149743264956</v>
      </c>
      <c r="V44">
        <f t="shared" si="9"/>
        <v>38.820149743264956</v>
      </c>
      <c r="AA44" s="11"/>
      <c r="AB44" s="11"/>
      <c r="AC44" s="11"/>
      <c r="AD44" s="26"/>
      <c r="AE44" s="26"/>
      <c r="AF44" s="26"/>
    </row>
    <row r="45" spans="1:32" x14ac:dyDescent="0.2">
      <c r="A45" s="30">
        <v>44319</v>
      </c>
      <c r="B45">
        <v>33</v>
      </c>
      <c r="C45">
        <v>2</v>
      </c>
      <c r="D45">
        <v>36.271000000000001</v>
      </c>
      <c r="E45">
        <v>59.2256</v>
      </c>
      <c r="F45">
        <v>37.714399999999998</v>
      </c>
      <c r="G45">
        <v>36.781100000000002</v>
      </c>
      <c r="H45">
        <f t="shared" si="7"/>
        <v>22.954599999999999</v>
      </c>
      <c r="I45">
        <f t="shared" si="8"/>
        <v>1.4433999999999969</v>
      </c>
      <c r="J45" s="13">
        <f t="shared" si="0"/>
        <v>6.2880642659858887</v>
      </c>
      <c r="K45">
        <f t="shared" si="13"/>
        <v>0.93329999999999558</v>
      </c>
      <c r="L45" s="13">
        <f t="shared" si="14"/>
        <v>64.65983095469015</v>
      </c>
      <c r="M45" s="11">
        <f>AVERAGE(J45:J47)</f>
        <v>6.7245786868978108</v>
      </c>
      <c r="N45" s="11">
        <v>5.1617514597630585</v>
      </c>
      <c r="O45" s="31">
        <f>AVERAGE(M45,N45)</f>
        <v>5.9431650733304346</v>
      </c>
      <c r="P45" s="31">
        <f>(M45/20)</f>
        <v>0.33622893434489054</v>
      </c>
      <c r="Q45" s="11">
        <f>AVERAGE(L45:L47)</f>
        <v>66.606719385586288</v>
      </c>
      <c r="R45" s="11">
        <v>72.465648741083882</v>
      </c>
      <c r="S45" s="11">
        <f t="shared" si="12"/>
        <v>69.536184063335085</v>
      </c>
      <c r="T45">
        <f t="shared" si="3"/>
        <v>62880.642659858888</v>
      </c>
      <c r="U45">
        <f t="shared" si="4"/>
        <v>40658.517247087533</v>
      </c>
      <c r="V45">
        <f t="shared" si="9"/>
        <v>40.658517247087531</v>
      </c>
      <c r="X45">
        <f>(AVERAGE(V45:V47))</f>
        <v>44.947466010951871</v>
      </c>
      <c r="Y45">
        <v>35.843754018647559</v>
      </c>
      <c r="Z45">
        <f t="shared" si="11"/>
        <v>40.395610014799715</v>
      </c>
      <c r="AA45" s="11">
        <f>AVERAGE(T45:T47)</f>
        <v>67245.786868978103</v>
      </c>
      <c r="AB45" s="11">
        <f t="shared" si="6"/>
        <v>67.245786868978101</v>
      </c>
      <c r="AC45" s="11">
        <f>AVERAGE(U45:U47)</f>
        <v>44947.466010951874</v>
      </c>
      <c r="AD45" s="26">
        <f>_xlfn.STDEV.S(J45:J47)</f>
        <v>0.81264380746266751</v>
      </c>
      <c r="AE45" s="26">
        <f>_xlfn.STDEV.S(L45:L47)</f>
        <v>2.927308182726855</v>
      </c>
      <c r="AF45" s="26">
        <f t="shared" si="15"/>
        <v>7.5062693757273875</v>
      </c>
    </row>
    <row r="46" spans="1:32" x14ac:dyDescent="0.2">
      <c r="A46" s="30"/>
      <c r="C46">
        <v>1</v>
      </c>
      <c r="D46">
        <v>36.182600000000001</v>
      </c>
      <c r="E46">
        <v>58.536499999999997</v>
      </c>
      <c r="F46" s="34">
        <v>37.895400000000002</v>
      </c>
      <c r="G46">
        <v>36.696899999999999</v>
      </c>
      <c r="H46">
        <f t="shared" si="7"/>
        <v>22.353899999999996</v>
      </c>
      <c r="I46">
        <f t="shared" si="8"/>
        <v>1.7128000000000014</v>
      </c>
      <c r="J46" s="13">
        <f t="shared" si="0"/>
        <v>7.662197647837746</v>
      </c>
      <c r="K46">
        <f t="shared" si="13"/>
        <v>1.1985000000000028</v>
      </c>
      <c r="L46" s="13">
        <f t="shared" si="14"/>
        <v>69.973143390938915</v>
      </c>
      <c r="M46" s="11"/>
      <c r="N46" s="11"/>
      <c r="O46" s="31"/>
      <c r="P46" s="31"/>
      <c r="Q46" s="11"/>
      <c r="R46" s="11"/>
      <c r="S46" s="11"/>
      <c r="T46">
        <f t="shared" si="3"/>
        <v>76621.976478377459</v>
      </c>
      <c r="U46">
        <f t="shared" si="4"/>
        <v>53614.80547018654</v>
      </c>
      <c r="V46">
        <f t="shared" si="9"/>
        <v>53.614805470186539</v>
      </c>
      <c r="AA46" s="11"/>
      <c r="AB46" s="11"/>
      <c r="AC46" s="11">
        <f>AC212</f>
        <v>0</v>
      </c>
      <c r="AD46" s="26"/>
      <c r="AE46" s="26"/>
      <c r="AF46" s="26"/>
    </row>
    <row r="47" spans="1:32" x14ac:dyDescent="0.2">
      <c r="A47" s="30"/>
      <c r="C47">
        <v>3</v>
      </c>
      <c r="D47">
        <v>44.502699999999997</v>
      </c>
      <c r="E47">
        <v>68.323800000000006</v>
      </c>
      <c r="F47">
        <v>45.985199999999999</v>
      </c>
      <c r="G47">
        <v>45.018799999999999</v>
      </c>
      <c r="H47">
        <f t="shared" si="7"/>
        <v>23.821100000000008</v>
      </c>
      <c r="I47">
        <f t="shared" si="8"/>
        <v>1.4825000000000017</v>
      </c>
      <c r="J47" s="13">
        <f t="shared" si="0"/>
        <v>6.2234741468697967</v>
      </c>
      <c r="K47">
        <f t="shared" si="13"/>
        <v>0.96640000000000015</v>
      </c>
      <c r="L47" s="13">
        <f t="shared" si="14"/>
        <v>65.187183811129785</v>
      </c>
      <c r="M47" s="11"/>
      <c r="N47" s="11"/>
      <c r="O47" s="31"/>
      <c r="P47" s="31"/>
      <c r="Q47" s="11"/>
      <c r="R47" s="11"/>
      <c r="S47" s="11"/>
      <c r="T47">
        <f t="shared" si="3"/>
        <v>62234.741468697968</v>
      </c>
      <c r="U47">
        <f t="shared" si="4"/>
        <v>40569.075315581555</v>
      </c>
      <c r="V47">
        <f t="shared" si="9"/>
        <v>40.569075315581557</v>
      </c>
      <c r="AA47" s="11"/>
      <c r="AB47" s="11"/>
      <c r="AC47" s="11"/>
      <c r="AD47" s="26"/>
      <c r="AE47" s="26"/>
      <c r="AF47" s="26"/>
    </row>
    <row r="48" spans="1:32" x14ac:dyDescent="0.2">
      <c r="A48" s="30">
        <v>44321</v>
      </c>
      <c r="B48">
        <v>35</v>
      </c>
      <c r="C48" t="s">
        <v>93</v>
      </c>
      <c r="D48">
        <v>24.6189</v>
      </c>
      <c r="E48">
        <v>46.082999999999998</v>
      </c>
      <c r="F48">
        <v>25.850100000000001</v>
      </c>
      <c r="G48">
        <v>25.079599999999999</v>
      </c>
      <c r="H48">
        <f t="shared" si="7"/>
        <v>21.464099999999998</v>
      </c>
      <c r="I48">
        <f t="shared" si="8"/>
        <v>1.2312000000000012</v>
      </c>
      <c r="J48" s="13">
        <f t="shared" si="0"/>
        <v>5.7360895635037172</v>
      </c>
      <c r="K48">
        <f t="shared" si="13"/>
        <v>0.77050000000000196</v>
      </c>
      <c r="L48" s="13">
        <f t="shared" si="14"/>
        <v>62.581221572449742</v>
      </c>
      <c r="M48" s="11">
        <f>AVERAGE(J48:J50)</f>
        <v>5.7786494393320957</v>
      </c>
      <c r="N48" s="11">
        <v>5.9826357952018592</v>
      </c>
      <c r="O48" s="31">
        <f t="shared" si="10"/>
        <v>5.880642617266977</v>
      </c>
      <c r="P48" s="31">
        <f>(M48/20)</f>
        <v>0.28893247196660476</v>
      </c>
      <c r="Q48" s="11">
        <f>AVERAGE(L48:L50)</f>
        <v>61.170800042054246</v>
      </c>
      <c r="R48" s="11">
        <v>60.854488857999478</v>
      </c>
      <c r="S48" s="11">
        <f t="shared" si="12"/>
        <v>61.012644450026862</v>
      </c>
      <c r="T48">
        <f t="shared" si="3"/>
        <v>57360.895635037174</v>
      </c>
      <c r="U48">
        <f t="shared" si="4"/>
        <v>35897.149193304263</v>
      </c>
      <c r="V48">
        <f t="shared" si="9"/>
        <v>35.897149193304266</v>
      </c>
      <c r="X48">
        <f>(AVERAGE(V48:V50))</f>
        <v>35.332882574607233</v>
      </c>
      <c r="Y48">
        <v>36.41960439471076</v>
      </c>
      <c r="Z48">
        <f t="shared" si="11"/>
        <v>35.876243484659</v>
      </c>
      <c r="AA48" s="11">
        <f>AVERAGE(T48:T50)</f>
        <v>57786.494393320951</v>
      </c>
      <c r="AB48" s="11">
        <f t="shared" si="6"/>
        <v>57.78649439332095</v>
      </c>
      <c r="AC48" s="11">
        <f>AVERAGE(U48:U50)</f>
        <v>35332.882574607233</v>
      </c>
      <c r="AD48" s="26">
        <f>_xlfn.STDEV.S(J48:J50)</f>
        <v>0.18830863884723617</v>
      </c>
      <c r="AE48" s="26">
        <f>_xlfn.STDEV.S(L48:L50)</f>
        <v>1.5923665935575366</v>
      </c>
      <c r="AF48" s="26">
        <f t="shared" si="15"/>
        <v>0.71655602743874902</v>
      </c>
    </row>
    <row r="49" spans="1:32" x14ac:dyDescent="0.2">
      <c r="A49" s="30"/>
      <c r="C49">
        <v>12</v>
      </c>
      <c r="D49">
        <v>18.867799999999999</v>
      </c>
      <c r="E49">
        <v>39.440300000000001</v>
      </c>
      <c r="F49">
        <v>20.023</v>
      </c>
      <c r="G49">
        <v>19.3127</v>
      </c>
      <c r="H49">
        <f t="shared" si="7"/>
        <v>20.572500000000002</v>
      </c>
      <c r="I49">
        <f t="shared" si="8"/>
        <v>1.1552000000000007</v>
      </c>
      <c r="J49" s="13">
        <f t="shared" si="0"/>
        <v>5.6152630939360826</v>
      </c>
      <c r="K49">
        <f t="shared" si="13"/>
        <v>0.71030000000000015</v>
      </c>
      <c r="L49" s="13">
        <f t="shared" si="14"/>
        <v>61.487188365650944</v>
      </c>
      <c r="M49" s="11"/>
      <c r="N49" s="11"/>
      <c r="O49" s="31"/>
      <c r="P49" s="31"/>
      <c r="Q49" s="11"/>
      <c r="R49" s="11"/>
      <c r="S49" s="11"/>
      <c r="T49">
        <f t="shared" si="3"/>
        <v>56152.630939360824</v>
      </c>
      <c r="U49">
        <f t="shared" si="4"/>
        <v>34526.673957953586</v>
      </c>
      <c r="V49">
        <f t="shared" si="9"/>
        <v>34.526673957953584</v>
      </c>
      <c r="AA49" s="11"/>
      <c r="AB49" s="11"/>
      <c r="AC49" s="11"/>
      <c r="AD49" s="26"/>
      <c r="AE49" s="26"/>
      <c r="AF49" s="26"/>
    </row>
    <row r="50" spans="1:32" x14ac:dyDescent="0.2">
      <c r="A50" s="30"/>
      <c r="C50">
        <v>84</v>
      </c>
      <c r="D50">
        <v>26.262699999999999</v>
      </c>
      <c r="E50">
        <v>46.698500000000003</v>
      </c>
      <c r="F50">
        <v>27.485700000000001</v>
      </c>
      <c r="G50">
        <v>26.758700000000001</v>
      </c>
      <c r="H50">
        <f t="shared" si="7"/>
        <v>20.435800000000004</v>
      </c>
      <c r="I50">
        <f t="shared" si="8"/>
        <v>1.2230000000000025</v>
      </c>
      <c r="J50" s="13">
        <f t="shared" si="0"/>
        <v>5.9845956605564856</v>
      </c>
      <c r="K50">
        <f t="shared" si="13"/>
        <v>0.72700000000000031</v>
      </c>
      <c r="L50" s="13">
        <f t="shared" si="14"/>
        <v>59.443990188062045</v>
      </c>
      <c r="M50" s="11"/>
      <c r="N50" s="11"/>
      <c r="O50" s="31"/>
      <c r="P50" s="31"/>
      <c r="Q50" s="11"/>
      <c r="R50" s="11"/>
      <c r="S50" s="11"/>
      <c r="T50">
        <f t="shared" si="3"/>
        <v>59845.956605564854</v>
      </c>
      <c r="U50">
        <f t="shared" si="4"/>
        <v>35574.824572563841</v>
      </c>
      <c r="V50">
        <f t="shared" si="9"/>
        <v>35.574824572563841</v>
      </c>
      <c r="AA50" s="11"/>
      <c r="AB50" s="11"/>
      <c r="AC50" s="11"/>
      <c r="AD50" s="26"/>
      <c r="AE50" s="26"/>
      <c r="AF50" s="26"/>
    </row>
    <row r="51" spans="1:32" x14ac:dyDescent="0.2">
      <c r="A51" s="30">
        <v>44323</v>
      </c>
      <c r="B51" s="35">
        <v>37</v>
      </c>
      <c r="C51" t="s">
        <v>36</v>
      </c>
      <c r="D51">
        <v>24.608899999999998</v>
      </c>
      <c r="E51">
        <v>47.161900000000003</v>
      </c>
      <c r="F51">
        <v>25.925799999999999</v>
      </c>
      <c r="G51">
        <v>25.065300000000001</v>
      </c>
      <c r="H51">
        <f t="shared" si="7"/>
        <v>22.553000000000004</v>
      </c>
      <c r="I51">
        <f t="shared" si="8"/>
        <v>1.3169000000000004</v>
      </c>
      <c r="J51" s="13">
        <f t="shared" si="0"/>
        <v>5.8391344832173111</v>
      </c>
      <c r="K51">
        <f t="shared" si="13"/>
        <v>0.86049999999999827</v>
      </c>
      <c r="L51" s="13">
        <f t="shared" si="14"/>
        <v>65.342850634064703</v>
      </c>
      <c r="M51" s="11">
        <f>AVERAGE(J51:J53)</f>
        <v>5.9558687324537267</v>
      </c>
      <c r="N51" s="11">
        <v>6.0952401467211574</v>
      </c>
      <c r="O51" s="31">
        <f t="shared" si="10"/>
        <v>6.0255544395874416</v>
      </c>
      <c r="P51" s="31">
        <f>(M51/20)</f>
        <v>0.29779343662268631</v>
      </c>
      <c r="Q51" s="11">
        <f>AVERAGE(L51:L53)</f>
        <v>65.723704060369187</v>
      </c>
      <c r="R51" s="11">
        <v>62.050851957003978</v>
      </c>
      <c r="S51" s="11">
        <f t="shared" si="12"/>
        <v>63.887278008686579</v>
      </c>
      <c r="T51">
        <f t="shared" si="3"/>
        <v>58391.344832173112</v>
      </c>
      <c r="U51">
        <f t="shared" si="4"/>
        <v>38154.569236908537</v>
      </c>
      <c r="V51">
        <f t="shared" si="9"/>
        <v>38.154569236908536</v>
      </c>
      <c r="X51">
        <f>(AVERAGE(V51:V53))</f>
        <v>39.201196245861723</v>
      </c>
      <c r="Y51">
        <v>37.880320283280028</v>
      </c>
      <c r="Z51">
        <f t="shared" si="11"/>
        <v>38.540758264570876</v>
      </c>
      <c r="AA51" s="11">
        <f>AVERAGE(T51:T53)</f>
        <v>59558.687324537255</v>
      </c>
      <c r="AB51" s="11">
        <f t="shared" si="6"/>
        <v>59.558687324537253</v>
      </c>
      <c r="AC51" s="11">
        <f>AVERAGE(U51:U53)</f>
        <v>39201.196245861727</v>
      </c>
      <c r="AD51" s="26">
        <f>_xlfn.STDEV.S(J51:J53)</f>
        <v>0.43951217432966683</v>
      </c>
      <c r="AE51" s="26">
        <f>_xlfn.STDEV.S(L51:L53)</f>
        <v>1.949810602171038</v>
      </c>
      <c r="AF51" s="26">
        <f t="shared" si="15"/>
        <v>4.0771214205133921</v>
      </c>
    </row>
    <row r="52" spans="1:32" x14ac:dyDescent="0.2">
      <c r="A52" s="30"/>
      <c r="C52">
        <v>84</v>
      </c>
      <c r="D52">
        <v>26.2577</v>
      </c>
      <c r="E52">
        <v>48.926600000000001</v>
      </c>
      <c r="F52">
        <v>27.524100000000001</v>
      </c>
      <c r="G52">
        <v>26.713699999999999</v>
      </c>
      <c r="H52">
        <f t="shared" si="7"/>
        <v>22.668900000000001</v>
      </c>
      <c r="I52">
        <f t="shared" si="8"/>
        <v>1.2664000000000009</v>
      </c>
      <c r="J52" s="13">
        <f t="shared" si="0"/>
        <v>5.5865083881441135</v>
      </c>
      <c r="K52">
        <f t="shared" si="13"/>
        <v>0.81040000000000134</v>
      </c>
      <c r="L52" s="13">
        <f t="shared" si="14"/>
        <v>63.992419456727788</v>
      </c>
      <c r="M52" s="11"/>
      <c r="N52" s="11"/>
      <c r="O52" s="31"/>
      <c r="P52" s="31"/>
      <c r="Q52" s="11"/>
      <c r="R52" s="11"/>
      <c r="S52" s="11"/>
      <c r="T52">
        <f t="shared" si="3"/>
        <v>55865.083881441133</v>
      </c>
      <c r="U52">
        <f t="shared" si="4"/>
        <v>35749.418807264636</v>
      </c>
      <c r="V52">
        <f t="shared" si="9"/>
        <v>35.749418807264632</v>
      </c>
      <c r="AA52" s="11"/>
      <c r="AB52" s="11"/>
      <c r="AC52" s="11"/>
      <c r="AD52" s="26"/>
      <c r="AE52" s="26"/>
      <c r="AF52" s="26"/>
    </row>
    <row r="53" spans="1:32" x14ac:dyDescent="0.2">
      <c r="A53" s="30"/>
      <c r="C53" t="s">
        <v>33</v>
      </c>
      <c r="D53">
        <v>24.465699999999998</v>
      </c>
      <c r="E53">
        <v>46.328600000000002</v>
      </c>
      <c r="F53">
        <v>25.874099999999999</v>
      </c>
      <c r="G53">
        <v>24.918700000000001</v>
      </c>
      <c r="H53">
        <f t="shared" si="7"/>
        <v>21.862900000000003</v>
      </c>
      <c r="I53">
        <f t="shared" si="8"/>
        <v>1.4084000000000003</v>
      </c>
      <c r="J53" s="13">
        <f t="shared" si="0"/>
        <v>6.4419633259997537</v>
      </c>
      <c r="K53">
        <f t="shared" si="13"/>
        <v>0.95539999999999736</v>
      </c>
      <c r="L53" s="13">
        <f t="shared" si="14"/>
        <v>67.83584209031504</v>
      </c>
      <c r="M53" s="11"/>
      <c r="N53" s="11"/>
      <c r="O53" s="31"/>
      <c r="P53" s="31"/>
      <c r="Q53" s="11"/>
      <c r="R53" s="11"/>
      <c r="S53" s="11"/>
      <c r="T53">
        <f t="shared" si="3"/>
        <v>64419.633259997543</v>
      </c>
      <c r="U53">
        <f t="shared" si="4"/>
        <v>43699.600693412001</v>
      </c>
      <c r="V53">
        <f t="shared" si="9"/>
        <v>43.699600693412002</v>
      </c>
      <c r="AA53" s="11"/>
      <c r="AB53" s="11"/>
      <c r="AC53" s="11"/>
      <c r="AD53" s="26"/>
      <c r="AE53" s="26"/>
      <c r="AF53" s="26"/>
    </row>
    <row r="54" spans="1:32" x14ac:dyDescent="0.2">
      <c r="A54" s="30">
        <v>44326</v>
      </c>
      <c r="B54">
        <v>40</v>
      </c>
      <c r="C54">
        <v>82</v>
      </c>
      <c r="D54">
        <v>22.885200000000001</v>
      </c>
      <c r="E54">
        <v>45.385599999999997</v>
      </c>
      <c r="F54">
        <v>24.190200000000001</v>
      </c>
      <c r="G54">
        <v>23.342199999999998</v>
      </c>
      <c r="H54">
        <f t="shared" si="7"/>
        <v>22.500399999999996</v>
      </c>
      <c r="I54">
        <f t="shared" si="8"/>
        <v>1.3049999999999997</v>
      </c>
      <c r="J54" s="13">
        <f t="shared" si="0"/>
        <v>5.7998968907219428</v>
      </c>
      <c r="K54">
        <f t="shared" si="13"/>
        <v>0.84800000000000253</v>
      </c>
      <c r="L54" s="13">
        <f t="shared" si="14"/>
        <v>64.980842911877602</v>
      </c>
      <c r="M54" s="11">
        <f>AVERAGE(J54:J56)</f>
        <v>5.9642516288887242</v>
      </c>
      <c r="N54" s="11">
        <v>6.2849582133048782</v>
      </c>
      <c r="O54" s="31">
        <f t="shared" si="10"/>
        <v>6.1246049210968012</v>
      </c>
      <c r="P54" s="31">
        <f>(M54/20)</f>
        <v>0.29821258144443619</v>
      </c>
      <c r="Q54" s="11">
        <f>AVERAGE(L54:L56)</f>
        <v>66.08396915051479</v>
      </c>
      <c r="R54" s="11">
        <v>63.960789618171788</v>
      </c>
      <c r="S54" s="11">
        <f t="shared" si="12"/>
        <v>65.022379384343282</v>
      </c>
      <c r="T54">
        <f t="shared" si="3"/>
        <v>57998.968907219431</v>
      </c>
      <c r="U54">
        <f t="shared" si="4"/>
        <v>37688.218876108986</v>
      </c>
      <c r="V54">
        <f t="shared" si="9"/>
        <v>37.688218876108984</v>
      </c>
      <c r="X54">
        <f>(AVERAGE(V54:V56))</f>
        <v>39.424991789443176</v>
      </c>
      <c r="Y54">
        <v>40.199933411946837</v>
      </c>
      <c r="Z54">
        <f t="shared" si="11"/>
        <v>39.812462600695007</v>
      </c>
      <c r="AA54" s="11">
        <f>AVERAGE(T54:T56)</f>
        <v>59642.516288887244</v>
      </c>
      <c r="AB54" s="11">
        <f t="shared" si="6"/>
        <v>59.642516288887244</v>
      </c>
      <c r="AC54" s="11">
        <f>AVERAGE(U54:U56)</f>
        <v>39424.991789443178</v>
      </c>
      <c r="AD54" s="26">
        <f>_xlfn.STDEV.S(J54:J56)</f>
        <v>0.15688461250830787</v>
      </c>
      <c r="AE54" s="26">
        <f>_xlfn.STDEV.S(L54:L56)</f>
        <v>1.0379079383689156</v>
      </c>
      <c r="AF54" s="26">
        <f t="shared" si="15"/>
        <v>1.6527131895714284</v>
      </c>
    </row>
    <row r="55" spans="1:32" x14ac:dyDescent="0.2">
      <c r="A55" s="30"/>
      <c r="C55" t="s">
        <v>83</v>
      </c>
      <c r="D55">
        <v>25.5214</v>
      </c>
      <c r="E55">
        <v>47.942999999999998</v>
      </c>
      <c r="F55">
        <v>26.8919</v>
      </c>
      <c r="G55">
        <v>25.973099999999999</v>
      </c>
      <c r="H55">
        <f t="shared" si="7"/>
        <v>22.421599999999998</v>
      </c>
      <c r="I55">
        <f t="shared" si="8"/>
        <v>1.3704999999999998</v>
      </c>
      <c r="J55" s="13">
        <f t="shared" si="0"/>
        <v>6.1124094623042069</v>
      </c>
      <c r="K55">
        <f t="shared" si="13"/>
        <v>0.91880000000000095</v>
      </c>
      <c r="L55" s="13">
        <f t="shared" si="14"/>
        <v>67.041225829989131</v>
      </c>
      <c r="M55" s="11"/>
      <c r="N55" s="11"/>
      <c r="O55" s="31"/>
      <c r="P55" s="31"/>
      <c r="Q55" s="11"/>
      <c r="R55" s="11"/>
      <c r="S55" s="11"/>
      <c r="T55">
        <f t="shared" si="3"/>
        <v>61124.094623042067</v>
      </c>
      <c r="U55">
        <f t="shared" si="4"/>
        <v>40978.342312769877</v>
      </c>
      <c r="V55">
        <f t="shared" si="9"/>
        <v>40.978342312769875</v>
      </c>
      <c r="AA55" s="11"/>
      <c r="AB55" s="11"/>
      <c r="AC55" s="11"/>
      <c r="AD55" s="26"/>
      <c r="AE55" s="26"/>
      <c r="AF55" s="26"/>
    </row>
    <row r="56" spans="1:32" x14ac:dyDescent="0.2">
      <c r="A56" s="30"/>
      <c r="C56">
        <v>25</v>
      </c>
      <c r="D56">
        <v>25.686900000000001</v>
      </c>
      <c r="E56">
        <v>47.250500000000002</v>
      </c>
      <c r="F56">
        <v>26.976500000000001</v>
      </c>
      <c r="G56">
        <v>26.122399999999999</v>
      </c>
      <c r="H56">
        <f t="shared" si="7"/>
        <v>21.563600000000001</v>
      </c>
      <c r="I56">
        <f t="shared" si="8"/>
        <v>1.2896000000000001</v>
      </c>
      <c r="J56" s="13">
        <f t="shared" si="0"/>
        <v>5.9804485336400228</v>
      </c>
      <c r="K56">
        <f t="shared" si="13"/>
        <v>0.85410000000000252</v>
      </c>
      <c r="L56" s="13">
        <f t="shared" si="14"/>
        <v>66.229838709677608</v>
      </c>
      <c r="M56" s="11"/>
      <c r="N56" s="11"/>
      <c r="O56" s="31"/>
      <c r="P56" s="31"/>
      <c r="Q56" s="11"/>
      <c r="R56" s="11"/>
      <c r="S56" s="11"/>
      <c r="T56">
        <f t="shared" si="3"/>
        <v>59804.485336400234</v>
      </c>
      <c r="U56">
        <f t="shared" si="4"/>
        <v>39608.414179450672</v>
      </c>
      <c r="V56">
        <f t="shared" si="9"/>
        <v>39.608414179450669</v>
      </c>
      <c r="AA56" s="11"/>
      <c r="AB56" s="11"/>
      <c r="AC56" s="11"/>
      <c r="AD56" s="26"/>
      <c r="AE56" s="26"/>
      <c r="AF56" s="26"/>
    </row>
    <row r="57" spans="1:32" x14ac:dyDescent="0.2">
      <c r="A57" s="30">
        <v>44328</v>
      </c>
      <c r="B57">
        <v>42</v>
      </c>
      <c r="C57" t="s">
        <v>94</v>
      </c>
      <c r="D57">
        <v>49.3035</v>
      </c>
      <c r="E57">
        <v>71.680400000000006</v>
      </c>
      <c r="F57">
        <v>50.645899999999997</v>
      </c>
      <c r="G57">
        <v>49.757800000000003</v>
      </c>
      <c r="H57">
        <f t="shared" si="7"/>
        <v>22.376900000000006</v>
      </c>
      <c r="I57">
        <f t="shared" si="8"/>
        <v>1.3423999999999978</v>
      </c>
      <c r="J57" s="13">
        <f t="shared" si="0"/>
        <v>5.9990436566280287</v>
      </c>
      <c r="K57">
        <f t="shared" si="13"/>
        <v>0.88809999999999434</v>
      </c>
      <c r="L57" s="13">
        <f t="shared" si="14"/>
        <v>66.157628128724355</v>
      </c>
      <c r="M57" s="11">
        <f>AVERAGE(J57:J59)</f>
        <v>5.8629439273382422</v>
      </c>
      <c r="N57" s="11">
        <v>5.3354511335720325</v>
      </c>
      <c r="O57" s="31">
        <f t="shared" si="10"/>
        <v>5.5991975304551378</v>
      </c>
      <c r="P57" s="31">
        <f>(M57/20)</f>
        <v>0.29314719636691211</v>
      </c>
      <c r="Q57" s="11">
        <f>AVERAGE(L57:L59)</f>
        <v>68.109168192010259</v>
      </c>
      <c r="R57" s="11">
        <v>62.338622618462352</v>
      </c>
      <c r="S57" s="11">
        <f t="shared" si="12"/>
        <v>65.223895405236306</v>
      </c>
      <c r="T57">
        <f t="shared" si="3"/>
        <v>59990.436566280288</v>
      </c>
      <c r="U57">
        <f t="shared" si="4"/>
        <v>39688.249936317989</v>
      </c>
      <c r="V57">
        <f t="shared" si="9"/>
        <v>39.688249936317987</v>
      </c>
      <c r="X57">
        <f>(AVERAGE(V57:V59))</f>
        <v>39.965299867637221</v>
      </c>
      <c r="Y57">
        <v>33.980980860084955</v>
      </c>
      <c r="Z57">
        <f t="shared" si="11"/>
        <v>36.973140363861091</v>
      </c>
      <c r="AA57" s="11">
        <f>AVERAGE(T57:T59)</f>
        <v>58629.439273382421</v>
      </c>
      <c r="AB57" s="11">
        <f t="shared" si="6"/>
        <v>58.629439273382424</v>
      </c>
      <c r="AC57" s="11">
        <f>AVERAGE(U57:U59)</f>
        <v>39965.299867637215</v>
      </c>
      <c r="AD57" s="26">
        <f>_xlfn.STDEV.S(J57:J59)</f>
        <v>0.26467683021819555</v>
      </c>
      <c r="AE57" s="26">
        <f>_xlfn.STDEV.S(L57:L59)</f>
        <v>3.3970783071868302</v>
      </c>
      <c r="AF57" s="26">
        <f t="shared" si="15"/>
        <v>3.3534497515578643</v>
      </c>
    </row>
    <row r="58" spans="1:32" x14ac:dyDescent="0.2">
      <c r="A58" s="30"/>
      <c r="C58" t="s">
        <v>85</v>
      </c>
      <c r="D58">
        <v>38.840200000000003</v>
      </c>
      <c r="E58">
        <v>59.605200000000004</v>
      </c>
      <c r="F58">
        <v>39.994300000000003</v>
      </c>
      <c r="G58">
        <v>39.231000000000002</v>
      </c>
      <c r="H58">
        <f t="shared" si="7"/>
        <v>20.765000000000001</v>
      </c>
      <c r="I58">
        <f t="shared" si="8"/>
        <v>1.1540999999999997</v>
      </c>
      <c r="J58" s="13">
        <f t="shared" si="0"/>
        <v>5.5579099446183466</v>
      </c>
      <c r="K58">
        <f t="shared" si="13"/>
        <v>0.76330000000000098</v>
      </c>
      <c r="L58" s="13">
        <f t="shared" si="14"/>
        <v>66.138116281084933</v>
      </c>
      <c r="M58" s="11"/>
      <c r="N58" s="11"/>
      <c r="O58" s="31"/>
      <c r="P58" s="31"/>
      <c r="Q58" s="11"/>
      <c r="R58" s="11"/>
      <c r="S58" s="11"/>
      <c r="T58">
        <f t="shared" si="3"/>
        <v>55579.099446183463</v>
      </c>
      <c r="U58">
        <f t="shared" si="4"/>
        <v>36758.969419696645</v>
      </c>
      <c r="V58">
        <f t="shared" si="9"/>
        <v>36.758969419696648</v>
      </c>
      <c r="AA58" s="11"/>
      <c r="AB58" s="11"/>
      <c r="AC58" s="11"/>
      <c r="AD58" s="26"/>
      <c r="AE58" s="26"/>
      <c r="AF58" s="26"/>
    </row>
    <row r="59" spans="1:32" x14ac:dyDescent="0.2">
      <c r="A59" s="30"/>
      <c r="C59">
        <v>2</v>
      </c>
      <c r="D59">
        <v>36.351199999999999</v>
      </c>
      <c r="E59">
        <v>58.692500000000003</v>
      </c>
      <c r="F59">
        <v>37.698799999999999</v>
      </c>
      <c r="G59">
        <v>36.728099999999998</v>
      </c>
      <c r="H59">
        <f t="shared" si="7"/>
        <v>22.341300000000004</v>
      </c>
      <c r="I59">
        <f t="shared" si="8"/>
        <v>1.3475999999999999</v>
      </c>
      <c r="J59" s="13">
        <f t="shared" si="0"/>
        <v>6.0318781807683512</v>
      </c>
      <c r="K59">
        <f t="shared" si="13"/>
        <v>0.97070000000000078</v>
      </c>
      <c r="L59" s="13">
        <f t="shared" si="14"/>
        <v>72.031760166221488</v>
      </c>
      <c r="M59" s="11"/>
      <c r="N59" s="11"/>
      <c r="O59" s="31"/>
      <c r="P59" s="31"/>
      <c r="Q59" s="11"/>
      <c r="R59" s="11"/>
      <c r="S59" s="11"/>
      <c r="T59">
        <f t="shared" si="3"/>
        <v>60318.78180768351</v>
      </c>
      <c r="U59">
        <f t="shared" si="4"/>
        <v>43448.680246897027</v>
      </c>
      <c r="V59">
        <f t="shared" si="9"/>
        <v>43.448680246897027</v>
      </c>
      <c r="AA59" s="11"/>
      <c r="AB59" s="11"/>
      <c r="AC59" s="11"/>
      <c r="AD59" s="26"/>
      <c r="AE59" s="26"/>
      <c r="AF59" s="26"/>
    </row>
    <row r="60" spans="1:32" x14ac:dyDescent="0.2">
      <c r="A60" s="30">
        <v>44330</v>
      </c>
      <c r="B60">
        <v>44</v>
      </c>
      <c r="C60">
        <v>7</v>
      </c>
      <c r="D60">
        <v>41.4816</v>
      </c>
      <c r="E60">
        <v>62.4129</v>
      </c>
      <c r="F60">
        <v>42.686</v>
      </c>
      <c r="G60">
        <v>41.904299999999999</v>
      </c>
      <c r="H60">
        <f t="shared" si="7"/>
        <v>20.9313</v>
      </c>
      <c r="I60">
        <f t="shared" si="8"/>
        <v>1.2043999999999997</v>
      </c>
      <c r="J60" s="13">
        <f t="shared" si="0"/>
        <v>5.7540620983885367</v>
      </c>
      <c r="K60">
        <f t="shared" si="13"/>
        <v>0.78170000000000073</v>
      </c>
      <c r="L60" s="13">
        <f t="shared" si="14"/>
        <v>64.903686482896134</v>
      </c>
      <c r="M60" s="11">
        <f>AVERAGE(J60:J62)</f>
        <v>5.8774495010634595</v>
      </c>
      <c r="N60" s="11">
        <v>6.1184302340350776</v>
      </c>
      <c r="O60" s="31">
        <f t="shared" si="10"/>
        <v>5.9979398675492686</v>
      </c>
      <c r="P60" s="31">
        <f>(M60/20)</f>
        <v>0.29387247505317299</v>
      </c>
      <c r="Q60" s="11">
        <f>AVERAGE(L60:L62)</f>
        <v>65.688661186755752</v>
      </c>
      <c r="R60" s="11">
        <v>63.057284988795196</v>
      </c>
      <c r="S60" s="11">
        <f t="shared" si="12"/>
        <v>64.372973087775478</v>
      </c>
      <c r="T60">
        <f t="shared" si="3"/>
        <v>57540.620983885361</v>
      </c>
      <c r="U60">
        <f t="shared" si="4"/>
        <v>37345.984243692496</v>
      </c>
      <c r="V60">
        <f t="shared" si="9"/>
        <v>37.345984243692499</v>
      </c>
      <c r="X60">
        <f>(AVERAGE(V60:V62))</f>
        <v>38.623734932132606</v>
      </c>
      <c r="Y60">
        <v>38.626881450249869</v>
      </c>
      <c r="Z60">
        <f t="shared" si="11"/>
        <v>38.625308191191237</v>
      </c>
      <c r="AA60" s="11">
        <f>AVERAGE(T60:T62)</f>
        <v>58774.495010634593</v>
      </c>
      <c r="AB60" s="11">
        <f t="shared" si="6"/>
        <v>58.774495010634595</v>
      </c>
      <c r="AC60" s="11">
        <f>AVERAGE(U60:U62)</f>
        <v>38623.734932132611</v>
      </c>
      <c r="AD60" s="26">
        <f>_xlfn.STDEV.S(J60:J62)</f>
        <v>0.25217245315633208</v>
      </c>
      <c r="AE60" s="26">
        <f t="shared" ref="AE60:AE91" si="16">_xlfn.STDEV.S(L60:L62)</f>
        <v>0.97832111077050277</v>
      </c>
      <c r="AF60" s="26">
        <f t="shared" si="15"/>
        <v>2.2223147372086611</v>
      </c>
    </row>
    <row r="61" spans="1:32" x14ac:dyDescent="0.2">
      <c r="A61" s="30"/>
      <c r="C61">
        <v>8</v>
      </c>
      <c r="D61">
        <v>52.221400000000003</v>
      </c>
      <c r="E61">
        <v>74.318399999999997</v>
      </c>
      <c r="F61">
        <v>53.4833</v>
      </c>
      <c r="G61">
        <v>52.658299999999997</v>
      </c>
      <c r="H61">
        <f t="shared" si="7"/>
        <v>22.096999999999994</v>
      </c>
      <c r="I61">
        <f t="shared" si="8"/>
        <v>1.2618999999999971</v>
      </c>
      <c r="J61" s="13">
        <f t="shared" si="0"/>
        <v>5.7107299633434288</v>
      </c>
      <c r="K61">
        <f t="shared" si="13"/>
        <v>0.82500000000000284</v>
      </c>
      <c r="L61" s="13">
        <f t="shared" si="14"/>
        <v>65.377605198510551</v>
      </c>
      <c r="M61" s="11"/>
      <c r="N61" s="11"/>
      <c r="O61" s="31"/>
      <c r="P61" s="31"/>
      <c r="Q61" s="11"/>
      <c r="R61" s="11"/>
      <c r="S61" s="11"/>
      <c r="T61">
        <f t="shared" si="3"/>
        <v>57107.29963343429</v>
      </c>
      <c r="U61">
        <f t="shared" si="4"/>
        <v>37335.384893877141</v>
      </c>
      <c r="V61">
        <f t="shared" si="9"/>
        <v>37.335384893877141</v>
      </c>
      <c r="AA61" s="11"/>
      <c r="AB61" s="11"/>
      <c r="AC61" s="11"/>
      <c r="AD61" s="26"/>
      <c r="AE61" s="26">
        <f t="shared" si="16"/>
        <v>3.1490412816154194</v>
      </c>
      <c r="AF61" s="26"/>
    </row>
    <row r="62" spans="1:32" x14ac:dyDescent="0.2">
      <c r="A62" s="30"/>
      <c r="C62">
        <v>3</v>
      </c>
      <c r="D62">
        <v>44.504399999999997</v>
      </c>
      <c r="E62">
        <v>66.026700000000005</v>
      </c>
      <c r="F62">
        <v>45.831800000000001</v>
      </c>
      <c r="G62">
        <v>44.945300000000003</v>
      </c>
      <c r="H62">
        <f t="shared" si="7"/>
        <v>21.522300000000008</v>
      </c>
      <c r="I62">
        <f t="shared" si="8"/>
        <v>1.3274000000000044</v>
      </c>
      <c r="J62" s="13">
        <f t="shared" si="0"/>
        <v>6.1675564414584123</v>
      </c>
      <c r="K62">
        <f>I62-(G62-D62)</f>
        <v>0.88649999999999807</v>
      </c>
      <c r="L62" s="13">
        <f t="shared" si="14"/>
        <v>66.784691878860571</v>
      </c>
      <c r="M62" s="11"/>
      <c r="N62" s="11"/>
      <c r="O62" s="31"/>
      <c r="P62" s="31"/>
      <c r="Q62" s="11"/>
      <c r="R62" s="11"/>
      <c r="S62" s="11"/>
      <c r="T62">
        <f t="shared" si="3"/>
        <v>61675.564414584122</v>
      </c>
      <c r="U62">
        <f t="shared" si="4"/>
        <v>41189.835658828182</v>
      </c>
      <c r="V62">
        <f t="shared" si="9"/>
        <v>41.18983565882818</v>
      </c>
      <c r="AA62" s="11"/>
      <c r="AB62" s="11"/>
      <c r="AC62" s="11"/>
      <c r="AD62" s="26"/>
      <c r="AE62" s="26">
        <f t="shared" si="16"/>
        <v>13.803641469294561</v>
      </c>
      <c r="AF62" s="26"/>
    </row>
    <row r="63" spans="1:32" x14ac:dyDescent="0.2">
      <c r="A63" s="30">
        <v>44333</v>
      </c>
      <c r="B63">
        <v>47</v>
      </c>
      <c r="C63">
        <v>12</v>
      </c>
      <c r="D63">
        <v>18.8614</v>
      </c>
      <c r="E63">
        <v>40.948099999999997</v>
      </c>
      <c r="F63">
        <v>20.122</v>
      </c>
      <c r="G63">
        <v>19.356000000000002</v>
      </c>
      <c r="H63">
        <f t="shared" si="7"/>
        <v>22.086699999999997</v>
      </c>
      <c r="I63">
        <f t="shared" si="8"/>
        <v>1.2606000000000002</v>
      </c>
      <c r="J63" s="13">
        <f t="shared" si="0"/>
        <v>5.7075072328595962</v>
      </c>
      <c r="K63">
        <f t="shared" si="13"/>
        <v>0.76599999999999824</v>
      </c>
      <c r="L63" s="13">
        <f t="shared" si="14"/>
        <v>60.764715214976853</v>
      </c>
      <c r="M63" s="11">
        <f>AVERAGE(J63:J65)</f>
        <v>5.0837134292525645</v>
      </c>
      <c r="N63" s="11">
        <v>5.6786651008025499</v>
      </c>
      <c r="O63" s="31">
        <f t="shared" si="10"/>
        <v>5.3811892650275572</v>
      </c>
      <c r="P63" s="31">
        <f>(M63/20)</f>
        <v>0.25418567146262822</v>
      </c>
      <c r="Q63" s="11">
        <f>AVERAGE(L63:L65)</f>
        <v>54.828017377039707</v>
      </c>
      <c r="R63" s="11">
        <v>67.412017954166757</v>
      </c>
      <c r="S63" s="11">
        <f t="shared" si="12"/>
        <v>61.120017665603228</v>
      </c>
      <c r="T63">
        <f t="shared" si="3"/>
        <v>57075.072328595961</v>
      </c>
      <c r="U63">
        <f t="shared" si="4"/>
        <v>34681.50515921339</v>
      </c>
      <c r="V63">
        <f t="shared" si="9"/>
        <v>34.681505159213387</v>
      </c>
      <c r="X63">
        <f>(AVERAGE(V63:V65))</f>
        <v>28.879997583640897</v>
      </c>
      <c r="Y63">
        <v>37.996097075106974</v>
      </c>
      <c r="Z63">
        <f t="shared" si="11"/>
        <v>33.438047329373937</v>
      </c>
      <c r="AA63" s="11">
        <f t="shared" ref="AA63:AA126" si="17">AVERAGE(T63:T65)</f>
        <v>50837.134292525647</v>
      </c>
      <c r="AB63" s="11">
        <f t="shared" si="6"/>
        <v>50.837134292525647</v>
      </c>
      <c r="AC63" s="11">
        <f t="shared" ref="AC63:AC126" si="18">AVERAGE(U63:U65)</f>
        <v>28879.997583640896</v>
      </c>
      <c r="AD63" s="26">
        <f>_xlfn.STDEV.S(J63:J65)</f>
        <v>1.2072562596524856</v>
      </c>
      <c r="AE63" s="26">
        <f t="shared" si="16"/>
        <v>12.522354503004033</v>
      </c>
      <c r="AF63" s="26">
        <f t="shared" si="15"/>
        <v>12.13638271487453</v>
      </c>
    </row>
    <row r="64" spans="1:32" x14ac:dyDescent="0.2">
      <c r="A64" s="30"/>
      <c r="C64">
        <v>84</v>
      </c>
      <c r="D64">
        <v>26.265699999999999</v>
      </c>
      <c r="E64">
        <v>49.457999999999998</v>
      </c>
      <c r="F64">
        <v>27.122</v>
      </c>
      <c r="G64">
        <v>26.775700000000001</v>
      </c>
      <c r="H64">
        <f t="shared" si="7"/>
        <v>23.192299999999999</v>
      </c>
      <c r="I64">
        <f t="shared" si="8"/>
        <v>0.85630000000000095</v>
      </c>
      <c r="J64" s="13">
        <f t="shared" si="0"/>
        <v>3.6921736955800024</v>
      </c>
      <c r="K64">
        <f t="shared" si="13"/>
        <v>0.34629999999999939</v>
      </c>
      <c r="L64" s="13">
        <f t="shared" si="14"/>
        <v>40.441434076842114</v>
      </c>
      <c r="M64" s="11"/>
      <c r="N64" s="11"/>
      <c r="O64" s="31"/>
      <c r="P64" s="31"/>
      <c r="Q64" s="11"/>
      <c r="R64" s="11"/>
      <c r="S64" s="11"/>
      <c r="T64">
        <f t="shared" si="3"/>
        <v>36921.736955800028</v>
      </c>
      <c r="U64">
        <f t="shared" si="4"/>
        <v>14931.67991100492</v>
      </c>
      <c r="V64">
        <f t="shared" si="9"/>
        <v>14.93167991100492</v>
      </c>
      <c r="AA64" s="11"/>
      <c r="AB64" s="11"/>
      <c r="AC64" s="11"/>
      <c r="AD64" s="26"/>
      <c r="AE64" s="26">
        <f t="shared" si="16"/>
        <v>14.351618515962279</v>
      </c>
      <c r="AF64" s="26"/>
    </row>
    <row r="65" spans="1:32" x14ac:dyDescent="0.2">
      <c r="A65" s="30"/>
      <c r="C65">
        <v>82</v>
      </c>
      <c r="D65">
        <v>22.903500000000001</v>
      </c>
      <c r="E65">
        <v>46.437800000000003</v>
      </c>
      <c r="F65">
        <v>24.2806</v>
      </c>
      <c r="G65">
        <v>23.409199999999998</v>
      </c>
      <c r="H65">
        <f t="shared" si="7"/>
        <v>23.534300000000002</v>
      </c>
      <c r="I65">
        <f t="shared" si="8"/>
        <v>1.3770999999999987</v>
      </c>
      <c r="J65" s="13">
        <f t="shared" si="0"/>
        <v>5.8514593593180955</v>
      </c>
      <c r="K65">
        <f t="shared" si="13"/>
        <v>0.87140000000000128</v>
      </c>
      <c r="L65" s="13">
        <f t="shared" si="14"/>
        <v>63.27790283930014</v>
      </c>
      <c r="M65" s="11"/>
      <c r="N65" s="11"/>
      <c r="O65" s="31"/>
      <c r="P65" s="31"/>
      <c r="Q65" s="11"/>
      <c r="R65" s="11"/>
      <c r="S65" s="11"/>
      <c r="T65">
        <f t="shared" si="3"/>
        <v>58514.593593180951</v>
      </c>
      <c r="U65">
        <f t="shared" si="4"/>
        <v>37026.807680704384</v>
      </c>
      <c r="V65">
        <f t="shared" si="9"/>
        <v>37.026807680704387</v>
      </c>
      <c r="AA65" s="11"/>
      <c r="AB65" s="11"/>
      <c r="AC65" s="11"/>
      <c r="AD65" s="26"/>
      <c r="AE65" s="26">
        <f t="shared" si="16"/>
        <v>1.8590420835055834</v>
      </c>
      <c r="AF65" s="26"/>
    </row>
    <row r="66" spans="1:32" x14ac:dyDescent="0.2">
      <c r="A66" s="30">
        <v>44335</v>
      </c>
      <c r="B66">
        <v>49</v>
      </c>
      <c r="C66">
        <v>4</v>
      </c>
      <c r="D66">
        <v>20.008700000000001</v>
      </c>
      <c r="E66">
        <v>41.246699999999997</v>
      </c>
      <c r="F66">
        <v>21.370200000000001</v>
      </c>
      <c r="G66">
        <v>20.459099999999999</v>
      </c>
      <c r="H66">
        <f t="shared" si="7"/>
        <v>21.237999999999996</v>
      </c>
      <c r="I66">
        <f t="shared" si="8"/>
        <v>1.3614999999999995</v>
      </c>
      <c r="J66" s="13">
        <f t="shared" si="0"/>
        <v>6.4106789716545807</v>
      </c>
      <c r="K66">
        <f t="shared" si="13"/>
        <v>0.91110000000000113</v>
      </c>
      <c r="L66" s="13">
        <f t="shared" si="14"/>
        <v>66.918839515240649</v>
      </c>
      <c r="M66" s="11">
        <f>AVERAGE(J66:J68)</f>
        <v>6.3726104278422175</v>
      </c>
      <c r="N66" s="11">
        <v>6.1197129225308187</v>
      </c>
      <c r="O66" s="31">
        <f t="shared" si="10"/>
        <v>6.2461616751865181</v>
      </c>
      <c r="P66" s="31">
        <f>(M66/20)</f>
        <v>0.3186305213921109</v>
      </c>
      <c r="Q66" s="11">
        <f>AVERAGE(L66:L68)</f>
        <v>66.324621884814704</v>
      </c>
      <c r="R66" s="11">
        <v>61.041683121440741</v>
      </c>
      <c r="S66" s="11">
        <f t="shared" si="12"/>
        <v>63.683152503127722</v>
      </c>
      <c r="T66">
        <f t="shared" si="3"/>
        <v>64106.789716545805</v>
      </c>
      <c r="U66">
        <f t="shared" si="4"/>
        <v>42899.51972878808</v>
      </c>
      <c r="V66">
        <f t="shared" si="9"/>
        <v>42.899519728788079</v>
      </c>
      <c r="X66">
        <f>(AVERAGE(V66:V68))</f>
        <v>42.269279371151015</v>
      </c>
      <c r="Y66">
        <v>37.379124797394468</v>
      </c>
      <c r="Z66">
        <f t="shared" si="11"/>
        <v>39.824202084272741</v>
      </c>
      <c r="AA66" s="11">
        <f t="shared" si="17"/>
        <v>63726.104278422164</v>
      </c>
      <c r="AB66" s="11">
        <f t="shared" si="6"/>
        <v>63.726104278422163</v>
      </c>
      <c r="AC66" s="11">
        <f t="shared" si="18"/>
        <v>42269.279371151024</v>
      </c>
      <c r="AD66" s="26">
        <f>_xlfn.STDEV.S(J66:J68)</f>
        <v>0.11598490841083976</v>
      </c>
      <c r="AE66" s="26">
        <f t="shared" si="16"/>
        <v>0.58423813214688713</v>
      </c>
      <c r="AF66" s="26">
        <f t="shared" si="15"/>
        <v>1.0611126081868774</v>
      </c>
    </row>
    <row r="67" spans="1:32" x14ac:dyDescent="0.2">
      <c r="A67" s="30"/>
      <c r="C67">
        <v>1</v>
      </c>
      <c r="D67">
        <v>36.204700000000003</v>
      </c>
      <c r="E67">
        <v>58.829099999999997</v>
      </c>
      <c r="F67">
        <v>37.616999999999997</v>
      </c>
      <c r="G67">
        <v>36.688400000000001</v>
      </c>
      <c r="H67">
        <f>(E67-D67)</f>
        <v>22.624399999999994</v>
      </c>
      <c r="I67">
        <f>(F67-D67)</f>
        <v>1.4122999999999948</v>
      </c>
      <c r="J67" s="13">
        <f t="shared" si="0"/>
        <v>6.2423754884107208</v>
      </c>
      <c r="K67">
        <f t="shared" ref="K67:K98" si="19">I67-(G67-D67)</f>
        <v>0.92859999999999587</v>
      </c>
      <c r="L67" s="13">
        <f t="shared" ref="L67:L98" si="20">(K67/I67)*100</f>
        <v>65.750902782694837</v>
      </c>
      <c r="M67" s="11"/>
      <c r="N67" s="11"/>
      <c r="O67" s="31"/>
      <c r="P67" s="31"/>
      <c r="Q67" s="11"/>
      <c r="R67" s="11"/>
      <c r="S67" s="11"/>
      <c r="T67">
        <f t="shared" ref="T67:T130" si="21">((F67-D67)/(H67))*1000000</f>
        <v>62423.754884107206</v>
      </c>
      <c r="U67">
        <f t="shared" ref="U67:U130" si="22">((F67-G67)/(H67))*1000000</f>
        <v>41044.182387157052</v>
      </c>
      <c r="V67">
        <f t="shared" si="9"/>
        <v>41.044182387157051</v>
      </c>
      <c r="AA67" s="11"/>
      <c r="AB67" s="11"/>
      <c r="AC67" s="11"/>
      <c r="AD67" s="26"/>
      <c r="AE67" s="26">
        <f t="shared" si="16"/>
        <v>3.9841589929797085</v>
      </c>
      <c r="AF67" s="26"/>
    </row>
    <row r="68" spans="1:32" x14ac:dyDescent="0.2">
      <c r="A68" s="30"/>
      <c r="C68" t="s">
        <v>33</v>
      </c>
      <c r="D68">
        <v>24.463999999999999</v>
      </c>
      <c r="E68">
        <v>46.935000000000002</v>
      </c>
      <c r="F68">
        <v>25.916699999999999</v>
      </c>
      <c r="G68">
        <v>24.953499999999998</v>
      </c>
      <c r="H68">
        <f t="shared" si="7"/>
        <v>22.471000000000004</v>
      </c>
      <c r="I68">
        <f t="shared" si="8"/>
        <v>1.4527000000000001</v>
      </c>
      <c r="J68" s="13">
        <f t="shared" si="0"/>
        <v>6.4647768234613494</v>
      </c>
      <c r="K68">
        <f t="shared" si="19"/>
        <v>0.9632000000000005</v>
      </c>
      <c r="L68" s="13">
        <f t="shared" si="20"/>
        <v>66.304123356508597</v>
      </c>
      <c r="M68" s="11"/>
      <c r="N68" s="11"/>
      <c r="O68" s="31"/>
      <c r="P68" s="31"/>
      <c r="Q68" s="11"/>
      <c r="R68" s="11"/>
      <c r="S68" s="11"/>
      <c r="T68">
        <f t="shared" si="21"/>
        <v>64647.76823461349</v>
      </c>
      <c r="U68">
        <f t="shared" si="22"/>
        <v>42864.135997507918</v>
      </c>
      <c r="V68">
        <f t="shared" ref="V68:V131" si="23">((U68*1)/1000)</f>
        <v>42.864135997507915</v>
      </c>
      <c r="AA68" s="11"/>
      <c r="AB68" s="11"/>
      <c r="AC68" s="11"/>
      <c r="AD68" s="26"/>
      <c r="AE68" s="26">
        <f t="shared" si="16"/>
        <v>4.6776247539790106</v>
      </c>
      <c r="AF68" s="26"/>
    </row>
    <row r="69" spans="1:32" x14ac:dyDescent="0.2">
      <c r="A69" s="30">
        <v>44337</v>
      </c>
      <c r="B69">
        <v>51</v>
      </c>
      <c r="C69" t="s">
        <v>79</v>
      </c>
      <c r="D69">
        <v>25.421299999999999</v>
      </c>
      <c r="E69">
        <v>47.808700000000002</v>
      </c>
      <c r="F69">
        <v>26.581700000000001</v>
      </c>
      <c r="G69">
        <v>25.895399999999999</v>
      </c>
      <c r="H69">
        <f t="shared" si="7"/>
        <v>22.387400000000003</v>
      </c>
      <c r="I69">
        <f t="shared" si="8"/>
        <v>1.1604000000000028</v>
      </c>
      <c r="J69" s="13">
        <f t="shared" si="0"/>
        <v>5.1832727337699005</v>
      </c>
      <c r="K69">
        <f t="shared" si="19"/>
        <v>0.6863000000000028</v>
      </c>
      <c r="L69" s="13">
        <f t="shared" si="20"/>
        <v>59.143398827990445</v>
      </c>
      <c r="M69" s="11">
        <f>AVERAGE(J69:J71)</f>
        <v>5.0703179455539429</v>
      </c>
      <c r="N69" s="11">
        <v>6.1533299446357139</v>
      </c>
      <c r="O69" s="31">
        <f t="shared" ref="O69:O129" si="24">AVERAGE(M69,N69)</f>
        <v>5.6118239450948284</v>
      </c>
      <c r="P69" s="31">
        <f>(M69/20)</f>
        <v>0.25351589727769713</v>
      </c>
      <c r="Q69" s="11">
        <f>AVERAGE(L69:L71)</f>
        <v>57.895801288097665</v>
      </c>
      <c r="R69" s="11">
        <v>59.800243797008996</v>
      </c>
      <c r="S69" s="11">
        <f t="shared" ref="S69:S129" si="25">AVERAGE(Q69,R69)</f>
        <v>58.848022542553331</v>
      </c>
      <c r="T69">
        <f t="shared" si="21"/>
        <v>51832.727337699005</v>
      </c>
      <c r="U69">
        <f t="shared" si="22"/>
        <v>30655.636652760157</v>
      </c>
      <c r="V69">
        <f t="shared" si="23"/>
        <v>30.655636652760158</v>
      </c>
      <c r="X69">
        <f>(AVERAGE(V69:V71))</f>
        <v>29.362682931116662</v>
      </c>
      <c r="Y69">
        <v>36.860765891853802</v>
      </c>
      <c r="Z69">
        <f t="shared" ref="Z69:Z129" si="26">AVERAGE(X69,Y69)</f>
        <v>33.111724411485234</v>
      </c>
      <c r="AA69" s="11">
        <f t="shared" si="17"/>
        <v>50703.179455539423</v>
      </c>
      <c r="AB69" s="11">
        <f t="shared" ref="AB69:AB129" si="27">AA69/1000</f>
        <v>50.70317945553942</v>
      </c>
      <c r="AC69" s="11">
        <f t="shared" si="18"/>
        <v>29362.682931116662</v>
      </c>
      <c r="AD69" s="26">
        <f>_xlfn.STDEV.S(J69:J71)</f>
        <v>0.10545167839157045</v>
      </c>
      <c r="AE69" s="26">
        <f t="shared" si="16"/>
        <v>1.1063484356557911</v>
      </c>
      <c r="AF69" s="26">
        <f t="shared" si="15"/>
        <v>1.171635841344115</v>
      </c>
    </row>
    <row r="70" spans="1:32" x14ac:dyDescent="0.2">
      <c r="A70" s="30"/>
      <c r="C70" t="s">
        <v>30</v>
      </c>
      <c r="D70">
        <v>24.511500000000002</v>
      </c>
      <c r="E70">
        <v>44.841099999999997</v>
      </c>
      <c r="F70">
        <v>25.538799999999998</v>
      </c>
      <c r="G70">
        <v>24.948</v>
      </c>
      <c r="H70">
        <f t="shared" si="7"/>
        <v>20.329599999999996</v>
      </c>
      <c r="I70">
        <f t="shared" si="8"/>
        <v>1.0272999999999968</v>
      </c>
      <c r="J70" s="13">
        <f t="shared" si="0"/>
        <v>5.0532228868251075</v>
      </c>
      <c r="K70">
        <f t="shared" si="19"/>
        <v>0.59079999999999799</v>
      </c>
      <c r="L70" s="13">
        <f t="shared" si="20"/>
        <v>57.509977611213849</v>
      </c>
      <c r="M70" s="11"/>
      <c r="N70" s="11"/>
      <c r="O70" s="31"/>
      <c r="P70" s="31"/>
      <c r="Q70" s="11"/>
      <c r="R70" s="11"/>
      <c r="S70" s="11"/>
      <c r="T70">
        <f t="shared" si="21"/>
        <v>50532.228868251077</v>
      </c>
      <c r="U70">
        <f t="shared" si="22"/>
        <v>29061.073508578535</v>
      </c>
      <c r="V70">
        <f t="shared" si="23"/>
        <v>29.061073508578534</v>
      </c>
      <c r="AA70" s="11"/>
      <c r="AB70" s="11"/>
      <c r="AC70" s="11"/>
      <c r="AD70" s="26"/>
      <c r="AE70" s="26">
        <f t="shared" si="16"/>
        <v>2.7978483076652081</v>
      </c>
      <c r="AF70" s="26"/>
    </row>
    <row r="71" spans="1:32" x14ac:dyDescent="0.2">
      <c r="A71" s="30"/>
      <c r="C71">
        <v>25</v>
      </c>
      <c r="D71">
        <v>25.689699999999998</v>
      </c>
      <c r="E71">
        <v>45.480800000000002</v>
      </c>
      <c r="F71">
        <v>26.674199999999999</v>
      </c>
      <c r="G71">
        <v>26.1127</v>
      </c>
      <c r="H71">
        <f t="shared" si="7"/>
        <v>19.791100000000004</v>
      </c>
      <c r="I71">
        <f t="shared" si="8"/>
        <v>0.9845000000000006</v>
      </c>
      <c r="J71" s="13">
        <f t="shared" si="0"/>
        <v>4.9744582160668207</v>
      </c>
      <c r="K71">
        <f t="shared" si="19"/>
        <v>0.56149999999999878</v>
      </c>
      <c r="L71" s="13">
        <f t="shared" si="20"/>
        <v>57.034027425088716</v>
      </c>
      <c r="M71" s="11"/>
      <c r="N71" s="11"/>
      <c r="O71" s="31"/>
      <c r="P71" s="31"/>
      <c r="Q71" s="11"/>
      <c r="R71" s="11"/>
      <c r="S71" s="11"/>
      <c r="T71">
        <f t="shared" si="21"/>
        <v>49744.5821606682</v>
      </c>
      <c r="U71">
        <f t="shared" si="22"/>
        <v>28371.338632011291</v>
      </c>
      <c r="V71">
        <f t="shared" si="23"/>
        <v>28.371338632011291</v>
      </c>
      <c r="AA71" s="11"/>
      <c r="AB71" s="11"/>
      <c r="AC71" s="11"/>
      <c r="AD71" s="26"/>
      <c r="AE71" s="26">
        <f t="shared" si="16"/>
        <v>2.9883971400941705</v>
      </c>
      <c r="AF71" s="26"/>
    </row>
    <row r="72" spans="1:32" x14ac:dyDescent="0.2">
      <c r="A72" s="30">
        <v>44340</v>
      </c>
      <c r="B72">
        <v>54</v>
      </c>
      <c r="C72">
        <v>3</v>
      </c>
      <c r="D72">
        <v>44.508600000000001</v>
      </c>
      <c r="E72">
        <v>68.501900000000006</v>
      </c>
      <c r="F72">
        <v>45.713099999999997</v>
      </c>
      <c r="G72">
        <v>44.9651</v>
      </c>
      <c r="H72">
        <f t="shared" si="7"/>
        <v>23.993300000000005</v>
      </c>
      <c r="I72">
        <f t="shared" si="8"/>
        <v>1.2044999999999959</v>
      </c>
      <c r="J72" s="13">
        <f t="shared" si="0"/>
        <v>5.0201514589489387</v>
      </c>
      <c r="K72">
        <f t="shared" si="19"/>
        <v>0.74799999999999756</v>
      </c>
      <c r="L72" s="13">
        <f t="shared" si="20"/>
        <v>62.100456621004575</v>
      </c>
      <c r="M72" s="11">
        <f>AVERAGE(J72:J74)</f>
        <v>5.1512748580060981</v>
      </c>
      <c r="N72" s="11">
        <v>5.1754922574084068</v>
      </c>
      <c r="O72" s="31">
        <f t="shared" si="24"/>
        <v>5.1633835577072524</v>
      </c>
      <c r="P72" s="31">
        <f t="shared" ref="P72:P103" si="28">(M72/20)</f>
        <v>0.25756374290030493</v>
      </c>
      <c r="Q72" s="11">
        <f>AVERAGE(L72:L74)</f>
        <v>67.653765011882371</v>
      </c>
      <c r="R72" s="11">
        <v>58.462441295421293</v>
      </c>
      <c r="S72" s="11">
        <f t="shared" si="25"/>
        <v>63.058103153651828</v>
      </c>
      <c r="T72">
        <f t="shared" si="21"/>
        <v>50201.514589489387</v>
      </c>
      <c r="U72">
        <f t="shared" si="22"/>
        <v>31175.369790733137</v>
      </c>
      <c r="V72">
        <f t="shared" si="23"/>
        <v>31.175369790733136</v>
      </c>
      <c r="X72">
        <f t="shared" ref="X72:X78" si="29">(AVERAGE(V72:V74))</f>
        <v>34.94302080328287</v>
      </c>
      <c r="Y72">
        <v>30.256204121892569</v>
      </c>
      <c r="Z72">
        <f t="shared" si="26"/>
        <v>32.599612462587721</v>
      </c>
      <c r="AA72" s="11">
        <f t="shared" si="17"/>
        <v>51512.748580060979</v>
      </c>
      <c r="AB72" s="11">
        <f t="shared" si="27"/>
        <v>51.512748580060979</v>
      </c>
      <c r="AC72" s="11">
        <f t="shared" si="18"/>
        <v>34943.020803282874</v>
      </c>
      <c r="AD72" s="26">
        <f t="shared" ref="AD72:AD102" si="30">_xlfn.STDEV.S(J72:J74)</f>
        <v>0.15400723365740049</v>
      </c>
      <c r="AE72" s="26">
        <f t="shared" si="16"/>
        <v>9.4350117101583173</v>
      </c>
      <c r="AF72" s="26">
        <f t="shared" si="15"/>
        <v>5.9431576032179532</v>
      </c>
    </row>
    <row r="73" spans="1:32" x14ac:dyDescent="0.2">
      <c r="A73" s="30"/>
      <c r="C73">
        <v>2</v>
      </c>
      <c r="D73">
        <v>36.2834</v>
      </c>
      <c r="E73">
        <v>59.704999999999998</v>
      </c>
      <c r="F73">
        <v>37.480899999999998</v>
      </c>
      <c r="G73">
        <v>36.734699999999997</v>
      </c>
      <c r="H73">
        <f t="shared" si="7"/>
        <v>23.421599999999998</v>
      </c>
      <c r="I73">
        <f t="shared" si="8"/>
        <v>1.197499999999998</v>
      </c>
      <c r="J73" s="13">
        <f t="shared" si="0"/>
        <v>5.1128018581138699</v>
      </c>
      <c r="K73">
        <f t="shared" si="19"/>
        <v>0.74620000000000175</v>
      </c>
      <c r="L73" s="13">
        <f t="shared" si="20"/>
        <v>62.313152400835328</v>
      </c>
      <c r="M73" s="11"/>
      <c r="N73" s="11"/>
      <c r="O73" s="31"/>
      <c r="P73" s="31">
        <f t="shared" si="28"/>
        <v>0</v>
      </c>
      <c r="Q73" s="11"/>
      <c r="R73" s="11"/>
      <c r="S73" s="11"/>
      <c r="T73">
        <f t="shared" si="21"/>
        <v>51128.018581138698</v>
      </c>
      <c r="U73">
        <f t="shared" si="22"/>
        <v>31859.480137992356</v>
      </c>
      <c r="V73">
        <f t="shared" si="23"/>
        <v>31.859480137992357</v>
      </c>
      <c r="AA73" s="11"/>
      <c r="AB73" s="11"/>
      <c r="AC73" s="11"/>
      <c r="AD73" s="26"/>
      <c r="AE73" s="26">
        <f t="shared" si="16"/>
        <v>8.7970163191156274</v>
      </c>
      <c r="AF73" s="26">
        <f t="shared" si="15"/>
        <v>5.6079679482238083</v>
      </c>
    </row>
    <row r="74" spans="1:32" x14ac:dyDescent="0.2">
      <c r="A74" s="30"/>
      <c r="C74" t="s">
        <v>94</v>
      </c>
      <c r="D74">
        <v>49.307600000000001</v>
      </c>
      <c r="E74">
        <v>71.358500000000006</v>
      </c>
      <c r="F74">
        <v>50.480899999999998</v>
      </c>
      <c r="G74">
        <v>49.5593</v>
      </c>
      <c r="H74">
        <f t="shared" si="7"/>
        <v>22.050900000000006</v>
      </c>
      <c r="I74">
        <f t="shared" si="8"/>
        <v>1.1732999999999976</v>
      </c>
      <c r="J74" s="13">
        <f t="shared" si="0"/>
        <v>5.3208712569554857</v>
      </c>
      <c r="K74">
        <f t="shared" si="19"/>
        <v>0.92159999999999798</v>
      </c>
      <c r="L74" s="13">
        <f t="shared" si="20"/>
        <v>78.547686013807208</v>
      </c>
      <c r="M74" s="11"/>
      <c r="N74" s="11"/>
      <c r="O74" s="31"/>
      <c r="P74" s="31">
        <f t="shared" si="28"/>
        <v>0</v>
      </c>
      <c r="Q74" s="11"/>
      <c r="R74" s="11"/>
      <c r="S74" s="11"/>
      <c r="T74">
        <f t="shared" si="21"/>
        <v>53208.71256955486</v>
      </c>
      <c r="U74">
        <f t="shared" si="22"/>
        <v>41794.212481123119</v>
      </c>
      <c r="V74">
        <f t="shared" si="23"/>
        <v>41.794212481123118</v>
      </c>
      <c r="AA74" s="11"/>
      <c r="AB74" s="11"/>
      <c r="AC74" s="11"/>
      <c r="AD74" s="26"/>
      <c r="AE74" s="26">
        <f t="shared" si="16"/>
        <v>8.2975420449209789</v>
      </c>
      <c r="AF74" s="26">
        <f t="shared" si="15"/>
        <v>6.0236613321667942</v>
      </c>
    </row>
    <row r="75" spans="1:32" x14ac:dyDescent="0.2">
      <c r="A75" s="30">
        <v>44342</v>
      </c>
      <c r="B75">
        <v>56</v>
      </c>
      <c r="C75">
        <v>3</v>
      </c>
      <c r="D75">
        <v>44.527200000000001</v>
      </c>
      <c r="E75">
        <v>67.950199999999995</v>
      </c>
      <c r="F75">
        <v>45.699800000000003</v>
      </c>
      <c r="G75">
        <v>44.942799999999998</v>
      </c>
      <c r="H75">
        <f t="shared" si="7"/>
        <v>23.422999999999995</v>
      </c>
      <c r="I75">
        <f t="shared" si="8"/>
        <v>1.1726000000000028</v>
      </c>
      <c r="J75" s="13">
        <f t="shared" si="0"/>
        <v>5.0061904965205271</v>
      </c>
      <c r="K75">
        <f t="shared" si="19"/>
        <v>0.757000000000005</v>
      </c>
      <c r="L75" s="13">
        <f t="shared" si="20"/>
        <v>64.557393825686788</v>
      </c>
      <c r="M75" s="11">
        <f>AVERAGE(J75:J77)</f>
        <v>4.9989855716908513</v>
      </c>
      <c r="N75" s="11">
        <v>5.3455842328599799</v>
      </c>
      <c r="O75" s="31">
        <f t="shared" si="24"/>
        <v>5.1722849022754156</v>
      </c>
      <c r="P75" s="31">
        <f t="shared" si="28"/>
        <v>0.24994927858454258</v>
      </c>
      <c r="Q75" s="11">
        <f>AVERAGE(L75:L77)</f>
        <v>65.074117456348844</v>
      </c>
      <c r="R75" s="11">
        <v>61.053793436343824</v>
      </c>
      <c r="S75" s="11">
        <f t="shared" si="25"/>
        <v>63.063955446346334</v>
      </c>
      <c r="T75">
        <f t="shared" si="21"/>
        <v>50061.904965205271</v>
      </c>
      <c r="U75">
        <f t="shared" si="22"/>
        <v>32318.661145028611</v>
      </c>
      <c r="V75">
        <f t="shared" si="23"/>
        <v>32.318661145028614</v>
      </c>
      <c r="X75">
        <f t="shared" si="29"/>
        <v>32.550277813361319</v>
      </c>
      <c r="Y75">
        <v>32.664304192618594</v>
      </c>
      <c r="Z75">
        <f t="shared" si="26"/>
        <v>32.607291002989953</v>
      </c>
      <c r="AA75" s="11">
        <f t="shared" si="17"/>
        <v>49989.855716908518</v>
      </c>
      <c r="AB75" s="11">
        <f t="shared" si="27"/>
        <v>49.989855716908515</v>
      </c>
      <c r="AC75" s="11">
        <f t="shared" si="18"/>
        <v>32550.277813361317</v>
      </c>
      <c r="AD75" s="26">
        <f t="shared" si="30"/>
        <v>0.19885904483633043</v>
      </c>
      <c r="AE75" s="26">
        <f t="shared" si="16"/>
        <v>1.5747626410242348</v>
      </c>
      <c r="AF75" s="26">
        <f t="shared" si="15"/>
        <v>2.0625567660506783</v>
      </c>
    </row>
    <row r="76" spans="1:32" x14ac:dyDescent="0.2">
      <c r="A76" s="30"/>
      <c r="C76" t="s">
        <v>85</v>
      </c>
      <c r="D76">
        <v>38.837600000000002</v>
      </c>
      <c r="E76">
        <v>58.067799999999998</v>
      </c>
      <c r="F76">
        <v>39.76</v>
      </c>
      <c r="G76">
        <v>39.171300000000002</v>
      </c>
      <c r="H76">
        <f t="shared" si="7"/>
        <v>19.230199999999996</v>
      </c>
      <c r="I76">
        <f t="shared" si="8"/>
        <v>0.92239999999999611</v>
      </c>
      <c r="J76" s="13">
        <f t="shared" si="0"/>
        <v>4.7966219800105891</v>
      </c>
      <c r="K76">
        <f t="shared" si="19"/>
        <v>0.58869999999999578</v>
      </c>
      <c r="L76" s="13">
        <f t="shared" si="20"/>
        <v>63.822636600173276</v>
      </c>
      <c r="M76" s="11"/>
      <c r="N76" s="11"/>
      <c r="O76" s="31"/>
      <c r="P76" s="31">
        <f t="shared" si="28"/>
        <v>0</v>
      </c>
      <c r="Q76" s="11"/>
      <c r="R76" s="11"/>
      <c r="S76" s="11"/>
      <c r="T76">
        <f t="shared" si="21"/>
        <v>47966.219800105886</v>
      </c>
      <c r="U76">
        <f t="shared" si="22"/>
        <v>30613.30615386194</v>
      </c>
      <c r="V76">
        <f t="shared" si="23"/>
        <v>30.613306153861942</v>
      </c>
      <c r="AA76" s="11"/>
      <c r="AB76" s="11"/>
      <c r="AC76" s="11"/>
      <c r="AD76" s="26"/>
      <c r="AE76" s="26">
        <f t="shared" si="16"/>
        <v>3.0066578376113111</v>
      </c>
      <c r="AF76" s="26">
        <f t="shared" si="15"/>
        <v>2.9350838233639633</v>
      </c>
    </row>
    <row r="77" spans="1:32" x14ac:dyDescent="0.2">
      <c r="A77" s="30"/>
      <c r="C77" t="s">
        <v>40</v>
      </c>
      <c r="D77">
        <v>23.927800000000001</v>
      </c>
      <c r="E77">
        <v>47.309899999999999</v>
      </c>
      <c r="F77">
        <v>25.142299999999999</v>
      </c>
      <c r="G77">
        <v>24.330500000000001</v>
      </c>
      <c r="H77">
        <f t="shared" ref="H77:H151" si="31">(E77-D77)</f>
        <v>23.382099999999998</v>
      </c>
      <c r="I77">
        <f t="shared" si="8"/>
        <v>1.2144999999999975</v>
      </c>
      <c r="J77" s="13">
        <f t="shared" ref="J77:J134" si="32">(I77/H77)*100</f>
        <v>5.1941442385414378</v>
      </c>
      <c r="K77">
        <f t="shared" si="19"/>
        <v>0.81179999999999808</v>
      </c>
      <c r="L77" s="13">
        <f t="shared" si="20"/>
        <v>66.842321943186477</v>
      </c>
      <c r="M77" s="11"/>
      <c r="N77" s="11"/>
      <c r="O77" s="31"/>
      <c r="P77" s="31">
        <f t="shared" si="28"/>
        <v>0</v>
      </c>
      <c r="Q77" s="11"/>
      <c r="R77" s="11"/>
      <c r="S77" s="11"/>
      <c r="T77">
        <f t="shared" si="21"/>
        <v>51941.442385414375</v>
      </c>
      <c r="U77">
        <f t="shared" si="22"/>
        <v>34718.866141193401</v>
      </c>
      <c r="V77">
        <f t="shared" si="23"/>
        <v>34.718866141193402</v>
      </c>
      <c r="AA77" s="11"/>
      <c r="AB77" s="11"/>
      <c r="AC77" s="11"/>
      <c r="AD77" s="26"/>
      <c r="AE77" s="26">
        <f t="shared" si="16"/>
        <v>4.0317242554543782</v>
      </c>
      <c r="AF77" s="26">
        <f t="shared" si="15"/>
        <v>3.8176934481978306</v>
      </c>
    </row>
    <row r="78" spans="1:32" x14ac:dyDescent="0.2">
      <c r="A78" s="30">
        <v>44344</v>
      </c>
      <c r="B78">
        <v>58</v>
      </c>
      <c r="C78">
        <v>4</v>
      </c>
      <c r="D78">
        <v>19.994399999999999</v>
      </c>
      <c r="E78">
        <v>42.689599999999999</v>
      </c>
      <c r="F78">
        <v>21.0776</v>
      </c>
      <c r="G78">
        <v>20.418700000000001</v>
      </c>
      <c r="H78">
        <f t="shared" si="31"/>
        <v>22.6952</v>
      </c>
      <c r="I78">
        <f t="shared" si="8"/>
        <v>1.0832000000000015</v>
      </c>
      <c r="J78" s="13">
        <f t="shared" si="32"/>
        <v>4.7728153970883778</v>
      </c>
      <c r="K78">
        <f t="shared" si="19"/>
        <v>0.65889999999999915</v>
      </c>
      <c r="L78" s="13">
        <f t="shared" si="20"/>
        <v>60.829025110782709</v>
      </c>
      <c r="M78" s="11">
        <f>AVERAGE(J78:J80)</f>
        <v>4.7590295817413635</v>
      </c>
      <c r="N78" s="11">
        <v>4.6659489852104077</v>
      </c>
      <c r="O78" s="31">
        <f t="shared" si="24"/>
        <v>4.712489283475886</v>
      </c>
      <c r="P78" s="31">
        <f t="shared" si="28"/>
        <v>0.23795147908706818</v>
      </c>
      <c r="Q78" s="11">
        <f>AVERAGE(L78:L80)</f>
        <v>60.471425091257196</v>
      </c>
      <c r="R78" s="11">
        <v>62.272660499035034</v>
      </c>
      <c r="S78" s="11">
        <f t="shared" si="25"/>
        <v>61.372042795146115</v>
      </c>
      <c r="T78">
        <f t="shared" si="21"/>
        <v>47728.153970883781</v>
      </c>
      <c r="U78">
        <f t="shared" si="22"/>
        <v>29032.570763861924</v>
      </c>
      <c r="V78">
        <f t="shared" si="23"/>
        <v>29.032570763861923</v>
      </c>
      <c r="X78">
        <f t="shared" si="29"/>
        <v>28.787047843381668</v>
      </c>
      <c r="Y78">
        <v>29.11948222914895</v>
      </c>
      <c r="Z78">
        <f t="shared" si="26"/>
        <v>28.953265036265307</v>
      </c>
      <c r="AA78" s="11">
        <f t="shared" si="17"/>
        <v>47590.295817413637</v>
      </c>
      <c r="AB78" s="11">
        <f t="shared" si="27"/>
        <v>47.590295817413633</v>
      </c>
      <c r="AC78" s="11">
        <f t="shared" si="18"/>
        <v>28787.047843381664</v>
      </c>
      <c r="AD78" s="26">
        <f t="shared" si="30"/>
        <v>0.11247710852601267</v>
      </c>
      <c r="AE78" s="26">
        <f t="shared" si="16"/>
        <v>1.1517442127414586</v>
      </c>
      <c r="AF78" s="26">
        <f t="shared" si="15"/>
        <v>1.220159811209155</v>
      </c>
    </row>
    <row r="79" spans="1:32" x14ac:dyDescent="0.2">
      <c r="A79" s="30"/>
      <c r="C79" t="s">
        <v>91</v>
      </c>
      <c r="D79">
        <v>42.229199999999999</v>
      </c>
      <c r="E79">
        <v>65.660899999999998</v>
      </c>
      <c r="F79">
        <v>43.316499999999998</v>
      </c>
      <c r="G79">
        <v>42.673000000000002</v>
      </c>
      <c r="H79">
        <f t="shared" si="31"/>
        <v>23.431699999999999</v>
      </c>
      <c r="I79">
        <f t="shared" si="8"/>
        <v>1.087299999999999</v>
      </c>
      <c r="J79" s="13">
        <f t="shared" si="32"/>
        <v>4.6402949849989499</v>
      </c>
      <c r="K79">
        <f t="shared" si="19"/>
        <v>0.64349999999999596</v>
      </c>
      <c r="L79" s="13">
        <f t="shared" si="20"/>
        <v>59.183298077807088</v>
      </c>
      <c r="M79" s="11"/>
      <c r="N79" s="11"/>
      <c r="O79" s="31"/>
      <c r="P79" s="31">
        <f t="shared" si="28"/>
        <v>0</v>
      </c>
      <c r="Q79" s="11"/>
      <c r="R79" s="11"/>
      <c r="S79" s="11"/>
      <c r="T79">
        <f t="shared" si="21"/>
        <v>46402.949849989498</v>
      </c>
      <c r="U79">
        <f t="shared" si="22"/>
        <v>27462.79612661463</v>
      </c>
      <c r="V79">
        <f t="shared" si="23"/>
        <v>27.462796126614631</v>
      </c>
      <c r="AA79" s="11"/>
      <c r="AB79" s="11"/>
      <c r="AC79" s="11"/>
      <c r="AD79" s="26"/>
      <c r="AE79" s="26">
        <f t="shared" si="16"/>
        <v>19.455515387948349</v>
      </c>
      <c r="AF79" s="26">
        <f t="shared" si="15"/>
        <v>8.3797386704061463</v>
      </c>
    </row>
    <row r="80" spans="1:32" x14ac:dyDescent="0.2">
      <c r="A80" s="30"/>
      <c r="C80" t="s">
        <v>36</v>
      </c>
      <c r="D80">
        <v>24.612500000000001</v>
      </c>
      <c r="E80">
        <v>45.465800000000002</v>
      </c>
      <c r="F80">
        <v>25.626799999999999</v>
      </c>
      <c r="G80">
        <v>25.004000000000001</v>
      </c>
      <c r="H80">
        <f t="shared" si="31"/>
        <v>20.853300000000001</v>
      </c>
      <c r="I80">
        <f t="shared" si="8"/>
        <v>1.0142999999999986</v>
      </c>
      <c r="J80" s="13">
        <f t="shared" si="32"/>
        <v>4.8639783631367628</v>
      </c>
      <c r="K80">
        <f t="shared" si="19"/>
        <v>0.62279999999999802</v>
      </c>
      <c r="L80" s="13">
        <f t="shared" si="20"/>
        <v>61.40195208518179</v>
      </c>
      <c r="M80" s="11"/>
      <c r="N80" s="11"/>
      <c r="O80" s="31"/>
      <c r="P80" s="31">
        <f t="shared" si="28"/>
        <v>0</v>
      </c>
      <c r="Q80" s="11"/>
      <c r="R80" s="11"/>
      <c r="S80" s="11"/>
      <c r="T80">
        <f t="shared" si="21"/>
        <v>48639.783631367631</v>
      </c>
      <c r="U80">
        <f t="shared" si="22"/>
        <v>29865.776639668446</v>
      </c>
      <c r="V80">
        <f t="shared" si="23"/>
        <v>29.865776639668447</v>
      </c>
      <c r="AA80" s="11"/>
      <c r="AB80" s="11"/>
      <c r="AC80" s="11"/>
      <c r="AD80" s="26"/>
      <c r="AE80" s="26">
        <f t="shared" si="16"/>
        <v>22.864516455438658</v>
      </c>
      <c r="AF80" s="26">
        <f t="shared" si="15"/>
        <v>12.122700851672093</v>
      </c>
    </row>
    <row r="81" spans="1:32" x14ac:dyDescent="0.2">
      <c r="A81" s="30">
        <v>44347</v>
      </c>
      <c r="B81">
        <v>61</v>
      </c>
      <c r="C81" t="s">
        <v>97</v>
      </c>
      <c r="D81">
        <v>43.675699999999999</v>
      </c>
      <c r="E81">
        <v>65.395799999999994</v>
      </c>
      <c r="F81">
        <v>44.841200000000001</v>
      </c>
      <c r="G81">
        <v>44.5306</v>
      </c>
      <c r="H81">
        <f t="shared" si="31"/>
        <v>21.720099999999995</v>
      </c>
      <c r="I81">
        <f t="shared" si="8"/>
        <v>1.1655000000000015</v>
      </c>
      <c r="J81" s="13">
        <f t="shared" si="32"/>
        <v>5.3659973941188195</v>
      </c>
      <c r="K81">
        <f t="shared" si="19"/>
        <v>0.31060000000000088</v>
      </c>
      <c r="L81" s="13">
        <f t="shared" si="20"/>
        <v>26.649506649506687</v>
      </c>
      <c r="M81" s="11">
        <f>AVERAGE(J81:J83)</f>
        <v>5.5117675186889015</v>
      </c>
      <c r="N81" s="11">
        <v>4.9622741486469808</v>
      </c>
      <c r="O81" s="31">
        <f t="shared" si="24"/>
        <v>5.2370208336679411</v>
      </c>
      <c r="P81" s="31">
        <f t="shared" si="28"/>
        <v>0.27558837593444507</v>
      </c>
      <c r="Q81" s="11">
        <f>AVERAGE(L81:L83)</f>
        <v>55.613244763816652</v>
      </c>
      <c r="R81" s="11">
        <v>67.873485147242377</v>
      </c>
      <c r="S81" s="11">
        <f t="shared" si="25"/>
        <v>61.743364955529515</v>
      </c>
      <c r="T81">
        <f t="shared" si="21"/>
        <v>53659.973941188196</v>
      </c>
      <c r="U81">
        <f t="shared" si="22"/>
        <v>14300.118323580507</v>
      </c>
      <c r="V81">
        <f t="shared" si="23"/>
        <v>14.300118323580508</v>
      </c>
      <c r="X81">
        <f t="shared" ref="X81:X135" si="33">(AVERAGE(V81:V83))</f>
        <v>30.866284645088385</v>
      </c>
      <c r="Y81">
        <v>33.64507552939898</v>
      </c>
      <c r="Z81">
        <f t="shared" si="26"/>
        <v>32.255680087243682</v>
      </c>
      <c r="AA81" s="11">
        <f t="shared" si="17"/>
        <v>55117.675186889021</v>
      </c>
      <c r="AB81" s="11">
        <f t="shared" si="27"/>
        <v>55.117675186889024</v>
      </c>
      <c r="AC81" s="11">
        <f t="shared" si="18"/>
        <v>30866.284645088384</v>
      </c>
      <c r="AD81" s="26">
        <f t="shared" si="30"/>
        <v>0.16866846253439835</v>
      </c>
      <c r="AE81" s="26">
        <f t="shared" si="16"/>
        <v>25.085492671566143</v>
      </c>
      <c r="AF81" s="26">
        <f t="shared" si="15"/>
        <v>14.379333483559515</v>
      </c>
    </row>
    <row r="82" spans="1:32" x14ac:dyDescent="0.2">
      <c r="A82" s="30"/>
      <c r="C82" t="s">
        <v>119</v>
      </c>
      <c r="D82">
        <v>24.5166</v>
      </c>
      <c r="E82">
        <v>47.313000000000002</v>
      </c>
      <c r="F82">
        <v>25.764199999999999</v>
      </c>
      <c r="G82">
        <v>24.893799999999999</v>
      </c>
      <c r="H82">
        <f t="shared" si="31"/>
        <v>22.796400000000002</v>
      </c>
      <c r="I82">
        <f t="shared" si="8"/>
        <v>1.2475999999999985</v>
      </c>
      <c r="J82" s="13">
        <f t="shared" si="32"/>
        <v>5.4727939499219103</v>
      </c>
      <c r="K82">
        <f t="shared" si="19"/>
        <v>0.87040000000000006</v>
      </c>
      <c r="L82" s="13">
        <f t="shared" si="20"/>
        <v>69.765950625200475</v>
      </c>
      <c r="M82" s="11"/>
      <c r="N82" s="11"/>
      <c r="O82" s="31"/>
      <c r="P82" s="31">
        <f t="shared" si="28"/>
        <v>0</v>
      </c>
      <c r="Q82" s="11"/>
      <c r="R82" s="11"/>
      <c r="S82" s="11"/>
      <c r="T82">
        <f t="shared" si="21"/>
        <v>54727.939499219108</v>
      </c>
      <c r="U82">
        <f t="shared" si="22"/>
        <v>38181.467249214787</v>
      </c>
      <c r="V82">
        <f t="shared" si="23"/>
        <v>38.181467249214791</v>
      </c>
      <c r="AA82" s="11"/>
      <c r="AB82" s="11"/>
      <c r="AC82" s="11"/>
      <c r="AD82" s="26"/>
      <c r="AE82" s="26">
        <f t="shared" si="16"/>
        <v>337.3707718797836</v>
      </c>
      <c r="AF82" s="26">
        <f t="shared" si="15"/>
        <v>129.70314402152363</v>
      </c>
    </row>
    <row r="83" spans="1:32" x14ac:dyDescent="0.2">
      <c r="A83" s="30"/>
      <c r="C83" t="s">
        <v>120</v>
      </c>
      <c r="D83">
        <v>18.863</v>
      </c>
      <c r="E83">
        <v>37.316400000000002</v>
      </c>
      <c r="F83">
        <v>19.914200000000001</v>
      </c>
      <c r="G83">
        <v>19.1739</v>
      </c>
      <c r="H83">
        <f t="shared" si="31"/>
        <v>18.453400000000002</v>
      </c>
      <c r="I83">
        <f t="shared" si="8"/>
        <v>1.0512000000000015</v>
      </c>
      <c r="J83" s="13">
        <f t="shared" si="32"/>
        <v>5.6965112120259755</v>
      </c>
      <c r="K83">
        <f t="shared" si="19"/>
        <v>0.74030000000000129</v>
      </c>
      <c r="L83" s="13">
        <f t="shared" si="20"/>
        <v>70.424277016742792</v>
      </c>
      <c r="M83" s="11"/>
      <c r="N83" s="11"/>
      <c r="O83" s="31"/>
      <c r="P83" s="31">
        <f t="shared" si="28"/>
        <v>0</v>
      </c>
      <c r="Q83" s="11"/>
      <c r="R83" s="11"/>
      <c r="S83" s="11"/>
      <c r="T83">
        <f t="shared" si="21"/>
        <v>56965.11212025975</v>
      </c>
      <c r="U83">
        <f t="shared" si="22"/>
        <v>40117.268362469855</v>
      </c>
      <c r="V83">
        <f t="shared" si="23"/>
        <v>40.117268362469858</v>
      </c>
      <c r="AA83" s="11"/>
      <c r="AB83" s="11"/>
      <c r="AC83" s="11"/>
      <c r="AD83" s="26"/>
      <c r="AE83" s="26">
        <f t="shared" si="16"/>
        <v>342.90454614402506</v>
      </c>
      <c r="AF83" s="26">
        <f t="shared" si="15"/>
        <v>128.6033876122805</v>
      </c>
    </row>
    <row r="84" spans="1:32" x14ac:dyDescent="0.2">
      <c r="A84" s="30">
        <v>44349</v>
      </c>
      <c r="B84">
        <v>63</v>
      </c>
      <c r="C84" t="s">
        <v>94</v>
      </c>
      <c r="D84">
        <v>44.325000000000003</v>
      </c>
      <c r="E84">
        <v>67.382000000000005</v>
      </c>
      <c r="F84">
        <v>45.156700000000001</v>
      </c>
      <c r="G84">
        <v>49.433700000000002</v>
      </c>
      <c r="H84">
        <f t="shared" si="31"/>
        <v>23.057000000000002</v>
      </c>
      <c r="I84">
        <f t="shared" si="8"/>
        <v>0.83169999999999789</v>
      </c>
      <c r="J84" s="13">
        <f t="shared" si="32"/>
        <v>3.6071475040117873</v>
      </c>
      <c r="K84">
        <f t="shared" si="19"/>
        <v>-4.277000000000001</v>
      </c>
      <c r="L84" s="13">
        <f t="shared" si="20"/>
        <v>-514.24792593483369</v>
      </c>
      <c r="M84" s="11">
        <f>AVERAGE(J84:J86)</f>
        <v>3.8229472933805639</v>
      </c>
      <c r="N84" s="11">
        <v>3.8565601303569266</v>
      </c>
      <c r="O84" s="31">
        <f t="shared" si="24"/>
        <v>3.8397537118687453</v>
      </c>
      <c r="P84" s="31">
        <f t="shared" si="28"/>
        <v>0.19114736466902821</v>
      </c>
      <c r="Q84" s="11">
        <f>AVERAGE(L84:L86)</f>
        <v>-121.10272404807483</v>
      </c>
      <c r="R84" s="11">
        <v>62.26634794420702</v>
      </c>
      <c r="S84" s="11">
        <f t="shared" si="25"/>
        <v>-29.418188051933907</v>
      </c>
      <c r="T84">
        <f t="shared" si="21"/>
        <v>36071.475040117875</v>
      </c>
      <c r="U84">
        <f t="shared" si="22"/>
        <v>-185496.81224790739</v>
      </c>
      <c r="V84">
        <f t="shared" si="23"/>
        <v>-185.4968122479074</v>
      </c>
      <c r="X84">
        <f t="shared" si="33"/>
        <v>-42.106768445340641</v>
      </c>
      <c r="Y84">
        <v>33.205003801914813</v>
      </c>
      <c r="Z84">
        <f t="shared" si="26"/>
        <v>-4.4508823217129141</v>
      </c>
      <c r="AA84" s="11">
        <f t="shared" si="17"/>
        <v>38229.472933805642</v>
      </c>
      <c r="AB84" s="11">
        <f t="shared" si="27"/>
        <v>38.229472933805646</v>
      </c>
      <c r="AC84" s="11">
        <f t="shared" si="18"/>
        <v>-42106.768445340633</v>
      </c>
      <c r="AD84" s="26">
        <f t="shared" si="30"/>
        <v>0.19616355680962455</v>
      </c>
      <c r="AE84" s="26">
        <f t="shared" si="16"/>
        <v>340.7238326471213</v>
      </c>
      <c r="AF84" s="26">
        <f t="shared" si="15"/>
        <v>124.26761121497977</v>
      </c>
    </row>
    <row r="85" spans="1:32" x14ac:dyDescent="0.2">
      <c r="A85" s="30"/>
      <c r="C85">
        <v>1</v>
      </c>
      <c r="D85">
        <v>36.219000000000001</v>
      </c>
      <c r="E85">
        <v>57.284599999999998</v>
      </c>
      <c r="F85">
        <v>37.034500000000001</v>
      </c>
      <c r="G85">
        <v>36.312600000000003</v>
      </c>
      <c r="H85">
        <f t="shared" si="31"/>
        <v>21.065599999999996</v>
      </c>
      <c r="I85">
        <f t="shared" si="8"/>
        <v>0.81550000000000011</v>
      </c>
      <c r="J85" s="13">
        <f t="shared" si="32"/>
        <v>3.8712403159653666</v>
      </c>
      <c r="K85">
        <f t="shared" si="19"/>
        <v>0.72189999999999799</v>
      </c>
      <c r="L85" s="13">
        <f t="shared" si="20"/>
        <v>88.52237890864474</v>
      </c>
      <c r="M85" s="11"/>
      <c r="N85" s="11"/>
      <c r="O85" s="31"/>
      <c r="P85" s="31">
        <f t="shared" si="28"/>
        <v>0</v>
      </c>
      <c r="Q85" s="11"/>
      <c r="R85" s="11"/>
      <c r="S85" s="11"/>
      <c r="T85">
        <f t="shared" si="21"/>
        <v>38712.403159653666</v>
      </c>
      <c r="U85">
        <f t="shared" si="22"/>
        <v>34269.140209630772</v>
      </c>
      <c r="V85">
        <f t="shared" si="23"/>
        <v>34.26914020963077</v>
      </c>
      <c r="AA85" s="11"/>
      <c r="AB85" s="11"/>
      <c r="AC85" s="11"/>
      <c r="AD85" s="26"/>
      <c r="AE85" s="26">
        <f t="shared" si="16"/>
        <v>13.478919743604038</v>
      </c>
      <c r="AF85" s="26">
        <f t="shared" si="15"/>
        <v>5.1665355183610213</v>
      </c>
    </row>
    <row r="86" spans="1:32" x14ac:dyDescent="0.2">
      <c r="A86" s="30"/>
      <c r="C86" t="s">
        <v>121</v>
      </c>
      <c r="D86">
        <v>41.502400000000002</v>
      </c>
      <c r="E86">
        <v>65.386899999999997</v>
      </c>
      <c r="F86">
        <v>42.455500000000001</v>
      </c>
      <c r="G86">
        <v>41.860599999999998</v>
      </c>
      <c r="H86">
        <f t="shared" si="31"/>
        <v>23.884499999999996</v>
      </c>
      <c r="I86">
        <f t="shared" si="8"/>
        <v>0.95309999999999917</v>
      </c>
      <c r="J86" s="13">
        <f t="shared" si="32"/>
        <v>3.9904540601645389</v>
      </c>
      <c r="K86">
        <f t="shared" si="19"/>
        <v>0.59490000000000265</v>
      </c>
      <c r="L86" s="13">
        <f t="shared" si="20"/>
        <v>62.417374881964449</v>
      </c>
      <c r="M86" s="11"/>
      <c r="N86" s="11"/>
      <c r="O86" s="31"/>
      <c r="P86" s="31">
        <f t="shared" si="28"/>
        <v>0</v>
      </c>
      <c r="Q86" s="11"/>
      <c r="R86" s="11"/>
      <c r="S86" s="11"/>
      <c r="T86">
        <f t="shared" si="21"/>
        <v>39904.540601645385</v>
      </c>
      <c r="U86">
        <f t="shared" si="22"/>
        <v>24907.366702254716</v>
      </c>
      <c r="V86">
        <f t="shared" si="23"/>
        <v>24.907366702254716</v>
      </c>
      <c r="AA86" s="11"/>
      <c r="AB86" s="11"/>
      <c r="AC86" s="11"/>
      <c r="AD86" s="26"/>
      <c r="AE86" s="26">
        <f t="shared" si="16"/>
        <v>4.600176308111692</v>
      </c>
      <c r="AF86" s="26">
        <f t="shared" si="15"/>
        <v>4.7845086593866748</v>
      </c>
    </row>
    <row r="87" spans="1:32" x14ac:dyDescent="0.2">
      <c r="A87" s="30">
        <v>44351</v>
      </c>
      <c r="B87">
        <v>65</v>
      </c>
      <c r="C87" t="s">
        <v>122</v>
      </c>
      <c r="D87">
        <v>41.541499999999999</v>
      </c>
      <c r="E87">
        <v>63.641199999999998</v>
      </c>
      <c r="F87">
        <v>42.6006</v>
      </c>
      <c r="G87">
        <v>41.863</v>
      </c>
      <c r="H87">
        <f t="shared" si="31"/>
        <v>22.099699999999999</v>
      </c>
      <c r="I87">
        <f t="shared" si="8"/>
        <v>1.0591000000000008</v>
      </c>
      <c r="J87" s="13">
        <f t="shared" si="32"/>
        <v>4.7923727471413677</v>
      </c>
      <c r="K87">
        <f t="shared" si="19"/>
        <v>0.73760000000000048</v>
      </c>
      <c r="L87" s="13">
        <f t="shared" si="20"/>
        <v>69.644037390236988</v>
      </c>
      <c r="M87" s="11">
        <f>AVERAGE(J87:J89)</f>
        <v>4.7011103276964992</v>
      </c>
      <c r="N87" s="11">
        <v>4.5375738681263353</v>
      </c>
      <c r="O87" s="31">
        <f t="shared" si="24"/>
        <v>4.6193420979114173</v>
      </c>
      <c r="P87" s="31">
        <f t="shared" si="28"/>
        <v>0.23505551638482497</v>
      </c>
      <c r="Q87" s="11">
        <f>AVERAGE(L87:L89)</f>
        <v>69.657658020493599</v>
      </c>
      <c r="R87" s="11">
        <v>63.151121650493373</v>
      </c>
      <c r="S87" s="11">
        <f t="shared" si="25"/>
        <v>66.40438983549349</v>
      </c>
      <c r="T87">
        <f t="shared" si="21"/>
        <v>47923.72747141368</v>
      </c>
      <c r="U87">
        <f t="shared" si="22"/>
        <v>33376.01867898662</v>
      </c>
      <c r="V87">
        <f t="shared" si="23"/>
        <v>33.376018678986618</v>
      </c>
      <c r="X87">
        <f t="shared" si="33"/>
        <v>32.746329957558515</v>
      </c>
      <c r="Y87">
        <v>28.640818946280227</v>
      </c>
      <c r="Z87">
        <f t="shared" si="26"/>
        <v>30.693574451919371</v>
      </c>
      <c r="AA87" s="11">
        <f t="shared" si="17"/>
        <v>47011.103276964997</v>
      </c>
      <c r="AB87" s="11">
        <f t="shared" si="27"/>
        <v>47.011103276964995</v>
      </c>
      <c r="AC87" s="11">
        <f t="shared" si="18"/>
        <v>32746.329957558522</v>
      </c>
      <c r="AD87" s="26">
        <f t="shared" si="30"/>
        <v>7.9200191367405748E-2</v>
      </c>
      <c r="AE87" s="26">
        <f t="shared" si="16"/>
        <v>1.2974553763361805</v>
      </c>
      <c r="AF87" s="26">
        <f t="shared" si="15"/>
        <v>0.78772683051052494</v>
      </c>
    </row>
    <row r="88" spans="1:32" x14ac:dyDescent="0.2">
      <c r="A88" s="30"/>
      <c r="C88" t="s">
        <v>85</v>
      </c>
      <c r="D88">
        <v>38.875</v>
      </c>
      <c r="E88">
        <v>61.320500000000003</v>
      </c>
      <c r="F88">
        <v>39.918799999999997</v>
      </c>
      <c r="G88">
        <v>39.178100000000001</v>
      </c>
      <c r="H88">
        <f t="shared" si="31"/>
        <v>22.445500000000003</v>
      </c>
      <c r="I88">
        <f t="shared" si="8"/>
        <v>1.0437999999999974</v>
      </c>
      <c r="J88" s="13">
        <f t="shared" si="32"/>
        <v>4.6503753536343462</v>
      </c>
      <c r="K88">
        <f t="shared" si="19"/>
        <v>0.74069999999999681</v>
      </c>
      <c r="L88" s="13">
        <f t="shared" si="20"/>
        <v>70.961870090055442</v>
      </c>
      <c r="M88" s="11"/>
      <c r="N88" s="11"/>
      <c r="O88" s="31"/>
      <c r="P88" s="31">
        <f t="shared" si="28"/>
        <v>0</v>
      </c>
      <c r="Q88" s="11"/>
      <c r="R88" s="11"/>
      <c r="S88" s="11"/>
      <c r="T88">
        <f t="shared" si="21"/>
        <v>46503.753536343465</v>
      </c>
      <c r="U88">
        <f t="shared" si="22"/>
        <v>32999.933171459612</v>
      </c>
      <c r="V88">
        <f t="shared" si="23"/>
        <v>32.99993317145961</v>
      </c>
      <c r="AA88" s="11"/>
      <c r="AB88" s="11"/>
      <c r="AC88" s="11"/>
      <c r="AD88" s="26"/>
      <c r="AE88" s="26">
        <f t="shared" si="16"/>
        <v>1.4797652295606187</v>
      </c>
      <c r="AF88" s="26">
        <f t="shared" si="15"/>
        <v>1.9573573506160731</v>
      </c>
    </row>
    <row r="89" spans="1:32" x14ac:dyDescent="0.2">
      <c r="A89" s="30"/>
      <c r="C89">
        <v>3</v>
      </c>
      <c r="D89">
        <v>44.552599999999998</v>
      </c>
      <c r="E89">
        <v>67.980999999999995</v>
      </c>
      <c r="F89">
        <v>45.644500000000001</v>
      </c>
      <c r="G89">
        <v>44.898000000000003</v>
      </c>
      <c r="H89">
        <f t="shared" si="31"/>
        <v>23.428399999999996</v>
      </c>
      <c r="I89">
        <f t="shared" si="8"/>
        <v>1.0919000000000025</v>
      </c>
      <c r="J89" s="13">
        <f t="shared" si="32"/>
        <v>4.6605828823137845</v>
      </c>
      <c r="K89">
        <f t="shared" si="19"/>
        <v>0.7464999999999975</v>
      </c>
      <c r="L89" s="13">
        <f t="shared" si="20"/>
        <v>68.367066581188368</v>
      </c>
      <c r="M89" s="11"/>
      <c r="N89" s="11"/>
      <c r="O89" s="31"/>
      <c r="P89" s="31">
        <f t="shared" si="28"/>
        <v>0</v>
      </c>
      <c r="Q89" s="11"/>
      <c r="R89" s="11"/>
      <c r="S89" s="11"/>
      <c r="T89">
        <f t="shared" si="21"/>
        <v>46605.828823137846</v>
      </c>
      <c r="U89">
        <f t="shared" si="22"/>
        <v>31863.038022229324</v>
      </c>
      <c r="V89">
        <f t="shared" si="23"/>
        <v>31.863038022229325</v>
      </c>
      <c r="AA89" s="11"/>
      <c r="AB89" s="11"/>
      <c r="AC89" s="11"/>
      <c r="AD89" s="26"/>
      <c r="AE89" s="26">
        <f t="shared" si="16"/>
        <v>0.90465522116322938</v>
      </c>
      <c r="AF89" s="26">
        <f t="shared" si="15"/>
        <v>2.759854014753818</v>
      </c>
    </row>
    <row r="90" spans="1:32" x14ac:dyDescent="0.2">
      <c r="A90" s="30">
        <v>44354</v>
      </c>
      <c r="B90">
        <v>68</v>
      </c>
      <c r="C90" t="s">
        <v>123</v>
      </c>
      <c r="D90">
        <v>43.6935</v>
      </c>
      <c r="E90">
        <v>65.209599999999995</v>
      </c>
      <c r="F90">
        <v>44.815199999999997</v>
      </c>
      <c r="G90">
        <v>44.047600000000003</v>
      </c>
      <c r="H90">
        <f t="shared" si="31"/>
        <v>21.516099999999994</v>
      </c>
      <c r="I90">
        <f t="shared" si="8"/>
        <v>1.121699999999997</v>
      </c>
      <c r="J90" s="13">
        <f t="shared" si="32"/>
        <v>5.2133053852696234</v>
      </c>
      <c r="K90">
        <f t="shared" si="19"/>
        <v>0.76759999999999451</v>
      </c>
      <c r="L90" s="13">
        <f t="shared" si="20"/>
        <v>68.431844521707816</v>
      </c>
      <c r="M90" s="11">
        <f>AVERAGE(J90:J92)</f>
        <v>5.1117783338044074</v>
      </c>
      <c r="N90" s="11">
        <v>4.8961684358456967</v>
      </c>
      <c r="O90" s="31">
        <f t="shared" si="24"/>
        <v>5.0039733848250521</v>
      </c>
      <c r="P90" s="31">
        <f t="shared" si="28"/>
        <v>0.25558891669022038</v>
      </c>
      <c r="Q90" s="11">
        <f>AVERAGE(L90:L92)</f>
        <v>65.627350930805491</v>
      </c>
      <c r="R90" s="11">
        <v>62.460466577443604</v>
      </c>
      <c r="S90" s="11">
        <f t="shared" si="25"/>
        <v>64.043908754124544</v>
      </c>
      <c r="T90">
        <f t="shared" si="21"/>
        <v>52133.053852696234</v>
      </c>
      <c r="U90">
        <f t="shared" si="22"/>
        <v>35675.610356895289</v>
      </c>
      <c r="V90">
        <f t="shared" si="23"/>
        <v>35.675610356895291</v>
      </c>
      <c r="X90">
        <f>(AVERAGE(V90:V92))</f>
        <v>33.660835251576557</v>
      </c>
      <c r="Y90">
        <v>30.582539413902978</v>
      </c>
      <c r="Z90">
        <f t="shared" si="26"/>
        <v>32.121687332739768</v>
      </c>
      <c r="AA90" s="11">
        <f t="shared" si="17"/>
        <v>51117.783338044072</v>
      </c>
      <c r="AB90" s="11">
        <f t="shared" si="27"/>
        <v>51.11778333804407</v>
      </c>
      <c r="AC90" s="11">
        <f t="shared" si="18"/>
        <v>33660.835251576558</v>
      </c>
      <c r="AD90" s="26">
        <f t="shared" si="30"/>
        <v>0.27410277696975749</v>
      </c>
      <c r="AE90" s="26">
        <f t="shared" si="16"/>
        <v>6.2329305434302285</v>
      </c>
      <c r="AF90" s="26">
        <f t="shared" si="15"/>
        <v>4.8941511724327</v>
      </c>
    </row>
    <row r="91" spans="1:32" x14ac:dyDescent="0.2">
      <c r="C91" t="s">
        <v>36</v>
      </c>
      <c r="D91">
        <v>24.614799999999999</v>
      </c>
      <c r="E91">
        <v>48.487900000000003</v>
      </c>
      <c r="F91">
        <v>25.885000000000002</v>
      </c>
      <c r="G91">
        <v>24.996300000000002</v>
      </c>
      <c r="H91">
        <f t="shared" si="31"/>
        <v>23.873100000000004</v>
      </c>
      <c r="I91">
        <f t="shared" si="8"/>
        <v>1.2702000000000027</v>
      </c>
      <c r="J91" s="13">
        <f t="shared" si="32"/>
        <v>5.3206328461741563</v>
      </c>
      <c r="K91">
        <f t="shared" si="19"/>
        <v>0.88870000000000005</v>
      </c>
      <c r="L91" s="13">
        <f t="shared" si="20"/>
        <v>69.965359785860343</v>
      </c>
      <c r="M91" s="11"/>
      <c r="N91" s="11"/>
      <c r="O91" s="31"/>
      <c r="P91" s="31">
        <f t="shared" si="28"/>
        <v>0</v>
      </c>
      <c r="Q91" s="11"/>
      <c r="R91" s="11"/>
      <c r="S91" s="11"/>
      <c r="T91">
        <f t="shared" si="21"/>
        <v>53206.328461741556</v>
      </c>
      <c r="U91">
        <f t="shared" si="22"/>
        <v>37225.999137104103</v>
      </c>
      <c r="V91">
        <f t="shared" si="23"/>
        <v>37.225999137104104</v>
      </c>
      <c r="AA91" s="11"/>
      <c r="AB91" s="11"/>
      <c r="AC91" s="11"/>
      <c r="AD91" s="26"/>
      <c r="AE91" s="26">
        <f t="shared" si="16"/>
        <v>5.8072834604879189</v>
      </c>
      <c r="AF91" s="26">
        <f t="shared" si="15"/>
        <v>4.817315064933049</v>
      </c>
    </row>
    <row r="92" spans="1:32" x14ac:dyDescent="0.2">
      <c r="C92" t="s">
        <v>124</v>
      </c>
      <c r="D92">
        <v>25.516999999999999</v>
      </c>
      <c r="E92">
        <v>50.259799999999998</v>
      </c>
      <c r="F92">
        <v>26.704999999999998</v>
      </c>
      <c r="G92">
        <v>26.010200000000001</v>
      </c>
      <c r="H92">
        <f t="shared" si="31"/>
        <v>24.742799999999999</v>
      </c>
      <c r="I92">
        <f t="shared" si="8"/>
        <v>1.1879999999999988</v>
      </c>
      <c r="J92" s="13">
        <f t="shared" si="32"/>
        <v>4.8013967699694415</v>
      </c>
      <c r="K92">
        <f t="shared" si="19"/>
        <v>0.6947999999999972</v>
      </c>
      <c r="L92" s="13">
        <f t="shared" si="20"/>
        <v>58.484848484848307</v>
      </c>
      <c r="M92" s="11"/>
      <c r="N92" s="11"/>
      <c r="O92" s="31"/>
      <c r="P92" s="31">
        <f t="shared" si="28"/>
        <v>0</v>
      </c>
      <c r="Q92" s="11"/>
      <c r="R92" s="11"/>
      <c r="S92" s="11"/>
      <c r="T92">
        <f t="shared" si="21"/>
        <v>48013.967699694411</v>
      </c>
      <c r="U92">
        <f t="shared" si="22"/>
        <v>28080.896260730282</v>
      </c>
      <c r="V92">
        <f t="shared" si="23"/>
        <v>28.080896260730281</v>
      </c>
      <c r="AA92" s="11"/>
      <c r="AB92" s="11"/>
      <c r="AC92" s="11"/>
      <c r="AD92" s="26"/>
      <c r="AE92" s="26">
        <f t="shared" ref="AE92:AE123" si="34">_xlfn.STDEV.S(L92:L94)</f>
        <v>3.6468983789163429</v>
      </c>
      <c r="AF92" s="26">
        <f t="shared" si="15"/>
        <v>1.4158188552608304</v>
      </c>
    </row>
    <row r="93" spans="1:32" x14ac:dyDescent="0.2">
      <c r="A93" s="30">
        <v>44356</v>
      </c>
      <c r="B93">
        <v>70</v>
      </c>
      <c r="C93">
        <v>8</v>
      </c>
      <c r="D93">
        <v>52.232900000000001</v>
      </c>
      <c r="E93">
        <v>73.546599999999998</v>
      </c>
      <c r="F93">
        <v>53.206299999999999</v>
      </c>
      <c r="G93">
        <v>52.566299999999998</v>
      </c>
      <c r="H93">
        <f t="shared" si="31"/>
        <v>21.313699999999997</v>
      </c>
      <c r="I93">
        <f t="shared" si="8"/>
        <v>0.97339999999999804</v>
      </c>
      <c r="J93" s="13">
        <f t="shared" si="32"/>
        <v>4.5670155815273654</v>
      </c>
      <c r="K93">
        <f t="shared" si="19"/>
        <v>0.64000000000000057</v>
      </c>
      <c r="L93" s="13">
        <f t="shared" si="20"/>
        <v>65.748921306759996</v>
      </c>
      <c r="M93" s="11">
        <f>AVERAGE(J93:J95)</f>
        <v>4.6359844088491657</v>
      </c>
      <c r="N93" s="11">
        <v>4.2600423981667266</v>
      </c>
      <c r="O93" s="31">
        <f t="shared" si="24"/>
        <v>4.4480134035079466</v>
      </c>
      <c r="P93" s="31">
        <f t="shared" si="28"/>
        <v>0.23179922044245829</v>
      </c>
      <c r="Q93" s="11">
        <f>AVERAGE(L93:L95)</f>
        <v>65.251737856983155</v>
      </c>
      <c r="R93" s="11">
        <v>62.211547009547907</v>
      </c>
      <c r="S93" s="11">
        <f t="shared" si="25"/>
        <v>63.731642433265534</v>
      </c>
      <c r="T93">
        <f t="shared" si="21"/>
        <v>45670.155815273662</v>
      </c>
      <c r="U93">
        <f t="shared" si="22"/>
        <v>30027.634807658953</v>
      </c>
      <c r="V93">
        <f t="shared" si="23"/>
        <v>30.027634807658952</v>
      </c>
      <c r="X93">
        <f t="shared" si="33"/>
        <v>30.298263967576219</v>
      </c>
      <c r="Y93">
        <v>26.501963276104583</v>
      </c>
      <c r="Z93">
        <f t="shared" si="26"/>
        <v>28.400113621840401</v>
      </c>
      <c r="AA93" s="11">
        <f t="shared" si="17"/>
        <v>46359.844088491671</v>
      </c>
      <c r="AB93" s="11">
        <f t="shared" si="27"/>
        <v>46.35984408849167</v>
      </c>
      <c r="AC93" s="11">
        <f t="shared" si="18"/>
        <v>30298.263967576222</v>
      </c>
      <c r="AD93" s="26">
        <f t="shared" si="30"/>
        <v>0.32523494343934645</v>
      </c>
      <c r="AE93" s="26">
        <f t="shared" si="34"/>
        <v>2.3562537324400656</v>
      </c>
      <c r="AF93" s="26">
        <f t="shared" si="15"/>
        <v>3.1688026794738891</v>
      </c>
    </row>
    <row r="94" spans="1:32" x14ac:dyDescent="0.2">
      <c r="C94" t="s">
        <v>31</v>
      </c>
      <c r="D94">
        <v>25.571100000000001</v>
      </c>
      <c r="E94">
        <v>48.054499999999997</v>
      </c>
      <c r="F94">
        <v>26.549299999999999</v>
      </c>
      <c r="G94">
        <v>25.9361</v>
      </c>
      <c r="H94">
        <f t="shared" si="31"/>
        <v>22.483399999999996</v>
      </c>
      <c r="I94">
        <f t="shared" si="8"/>
        <v>0.97819999999999752</v>
      </c>
      <c r="J94" s="13">
        <f t="shared" si="32"/>
        <v>4.350765453623552</v>
      </c>
      <c r="K94">
        <f t="shared" si="19"/>
        <v>0.61319999999999908</v>
      </c>
      <c r="L94" s="13">
        <f t="shared" si="20"/>
        <v>62.686567164179174</v>
      </c>
      <c r="M94" s="11"/>
      <c r="N94" s="11"/>
      <c r="O94" s="31"/>
      <c r="P94" s="31">
        <f t="shared" si="28"/>
        <v>0</v>
      </c>
      <c r="Q94" s="11"/>
      <c r="R94" s="11"/>
      <c r="S94" s="11"/>
      <c r="T94">
        <f t="shared" si="21"/>
        <v>43507.654536235525</v>
      </c>
      <c r="U94">
        <f t="shared" si="22"/>
        <v>27273.455082416327</v>
      </c>
      <c r="V94">
        <f t="shared" si="23"/>
        <v>27.273455082416326</v>
      </c>
      <c r="AA94" s="11"/>
      <c r="AB94" s="11"/>
      <c r="AC94" s="11"/>
      <c r="AD94" s="26"/>
      <c r="AE94" s="26">
        <f t="shared" si="34"/>
        <v>2.7387812325045369</v>
      </c>
      <c r="AF94" s="26">
        <f t="shared" si="15"/>
        <v>3.8501990308458733</v>
      </c>
    </row>
    <row r="95" spans="1:32" x14ac:dyDescent="0.2">
      <c r="C95" t="s">
        <v>83</v>
      </c>
      <c r="D95">
        <v>25.532299999999999</v>
      </c>
      <c r="E95">
        <v>45.0687</v>
      </c>
      <c r="F95">
        <v>26.507200000000001</v>
      </c>
      <c r="G95">
        <v>25.850899999999999</v>
      </c>
      <c r="H95">
        <f t="shared" si="31"/>
        <v>19.5364</v>
      </c>
      <c r="I95">
        <f t="shared" si="8"/>
        <v>0.97490000000000165</v>
      </c>
      <c r="J95" s="13">
        <f t="shared" si="32"/>
        <v>4.9901721913965806</v>
      </c>
      <c r="K95">
        <f t="shared" si="19"/>
        <v>0.65630000000000166</v>
      </c>
      <c r="L95" s="13">
        <f t="shared" si="20"/>
        <v>67.319725100010302</v>
      </c>
      <c r="M95" s="11"/>
      <c r="N95" s="11"/>
      <c r="O95" s="31"/>
      <c r="P95" s="31">
        <f t="shared" si="28"/>
        <v>0</v>
      </c>
      <c r="Q95" s="11"/>
      <c r="R95" s="11"/>
      <c r="S95" s="11"/>
      <c r="T95">
        <f t="shared" si="21"/>
        <v>49901.721913965812</v>
      </c>
      <c r="U95">
        <f t="shared" si="22"/>
        <v>33593.70201265339</v>
      </c>
      <c r="V95">
        <f t="shared" si="23"/>
        <v>33.593702012653388</v>
      </c>
      <c r="AA95" s="11"/>
      <c r="AB95" s="11"/>
      <c r="AC95" s="11"/>
      <c r="AD95" s="26"/>
      <c r="AE95" s="26">
        <f t="shared" si="34"/>
        <v>4.1097312069588714</v>
      </c>
      <c r="AF95" s="26">
        <f t="shared" si="15"/>
        <v>3.934963420654368</v>
      </c>
    </row>
    <row r="96" spans="1:32" x14ac:dyDescent="0.2">
      <c r="A96" s="30">
        <v>44358</v>
      </c>
      <c r="B96">
        <v>72</v>
      </c>
      <c r="C96">
        <v>6</v>
      </c>
      <c r="D96">
        <v>21.156500000000001</v>
      </c>
      <c r="E96">
        <v>40.496200000000002</v>
      </c>
      <c r="F96">
        <v>21.980699999999999</v>
      </c>
      <c r="G96">
        <v>21.465800000000002</v>
      </c>
      <c r="H96">
        <f t="shared" si="31"/>
        <v>19.339700000000001</v>
      </c>
      <c r="I96">
        <f t="shared" si="8"/>
        <v>0.8241999999999976</v>
      </c>
      <c r="J96" s="13">
        <f t="shared" si="32"/>
        <v>4.2617000263706135</v>
      </c>
      <c r="K96">
        <f t="shared" si="19"/>
        <v>0.51489999999999725</v>
      </c>
      <c r="L96" s="13">
        <f t="shared" si="20"/>
        <v>62.472700800776359</v>
      </c>
      <c r="M96" s="11">
        <f>AVERAGE(J96:J98)</f>
        <v>4.6010666328210954</v>
      </c>
      <c r="N96" s="11">
        <v>4.3071088523364747</v>
      </c>
      <c r="O96" s="31">
        <f t="shared" si="24"/>
        <v>4.4540877425787855</v>
      </c>
      <c r="P96" s="31">
        <f t="shared" si="28"/>
        <v>0.23005333164105476</v>
      </c>
      <c r="Q96" s="11">
        <f>AVERAGE(L96:L98)</f>
        <v>66.830765072969527</v>
      </c>
      <c r="R96" s="11">
        <v>61.704865407683592</v>
      </c>
      <c r="S96" s="11">
        <f t="shared" si="25"/>
        <v>64.267815240326556</v>
      </c>
      <c r="T96">
        <f t="shared" si="21"/>
        <v>42617.000263706133</v>
      </c>
      <c r="U96">
        <f t="shared" si="22"/>
        <v>26623.991065011207</v>
      </c>
      <c r="V96">
        <f t="shared" si="23"/>
        <v>26.623991065011207</v>
      </c>
      <c r="X96">
        <f t="shared" si="33"/>
        <v>30.816611468518261</v>
      </c>
      <c r="Y96">
        <v>26.583068407796063</v>
      </c>
      <c r="Z96">
        <f t="shared" si="26"/>
        <v>28.699839938157162</v>
      </c>
      <c r="AA96" s="11">
        <f t="shared" si="17"/>
        <v>46010.666328210966</v>
      </c>
      <c r="AB96" s="11">
        <f t="shared" si="27"/>
        <v>46.010666328210966</v>
      </c>
      <c r="AC96" s="11">
        <f t="shared" si="18"/>
        <v>30816.611468518258</v>
      </c>
      <c r="AD96" s="26">
        <f t="shared" si="30"/>
        <v>0.30010383539034324</v>
      </c>
      <c r="AE96" s="26">
        <f t="shared" si="34"/>
        <v>4.1132327052704749</v>
      </c>
      <c r="AF96" s="26">
        <f t="shared" si="15"/>
        <v>3.6488404597701471</v>
      </c>
    </row>
    <row r="97" spans="1:32" x14ac:dyDescent="0.2">
      <c r="C97">
        <v>1</v>
      </c>
      <c r="D97">
        <v>36.256300000000003</v>
      </c>
      <c r="E97">
        <v>60.644599999999997</v>
      </c>
      <c r="F97">
        <v>37.405000000000001</v>
      </c>
      <c r="G97">
        <v>36.593499999999999</v>
      </c>
      <c r="H97">
        <f t="shared" si="31"/>
        <v>24.388299999999994</v>
      </c>
      <c r="I97">
        <f t="shared" si="8"/>
        <v>1.1486999999999981</v>
      </c>
      <c r="J97" s="13">
        <f t="shared" si="32"/>
        <v>4.7100453906176254</v>
      </c>
      <c r="K97">
        <f t="shared" si="19"/>
        <v>0.81150000000000233</v>
      </c>
      <c r="L97" s="13">
        <f t="shared" si="20"/>
        <v>70.645077043614847</v>
      </c>
      <c r="M97" s="11"/>
      <c r="N97" s="11"/>
      <c r="O97" s="31"/>
      <c r="P97" s="31">
        <f t="shared" si="28"/>
        <v>0</v>
      </c>
      <c r="Q97" s="11"/>
      <c r="R97" s="11"/>
      <c r="S97" s="11"/>
      <c r="T97">
        <f t="shared" si="21"/>
        <v>47100.453906176255</v>
      </c>
      <c r="U97">
        <f t="shared" si="22"/>
        <v>33274.151949910512</v>
      </c>
      <c r="V97">
        <f t="shared" si="23"/>
        <v>33.274151949910511</v>
      </c>
      <c r="AA97" s="11"/>
      <c r="AB97" s="11"/>
      <c r="AC97" s="11"/>
      <c r="AD97" s="26"/>
      <c r="AE97" s="26">
        <f t="shared" si="34"/>
        <v>2.3523423682373954</v>
      </c>
      <c r="AF97" s="26">
        <f t="shared" si="15"/>
        <v>1.6753819434436776</v>
      </c>
    </row>
    <row r="98" spans="1:32" x14ac:dyDescent="0.2">
      <c r="C98" t="s">
        <v>125</v>
      </c>
      <c r="D98">
        <v>42.232999999999997</v>
      </c>
      <c r="E98">
        <v>65.820099999999996</v>
      </c>
      <c r="F98">
        <v>43.372599999999998</v>
      </c>
      <c r="G98">
        <v>42.604799999999997</v>
      </c>
      <c r="H98">
        <f t="shared" si="31"/>
        <v>23.5871</v>
      </c>
      <c r="I98">
        <f t="shared" si="8"/>
        <v>1.1396000000000015</v>
      </c>
      <c r="J98" s="13">
        <f t="shared" si="32"/>
        <v>4.83145448147505</v>
      </c>
      <c r="K98">
        <f t="shared" si="19"/>
        <v>0.76780000000000115</v>
      </c>
      <c r="L98" s="13">
        <f t="shared" si="20"/>
        <v>67.374517374517382</v>
      </c>
      <c r="M98" s="11"/>
      <c r="N98" s="11"/>
      <c r="O98" s="31"/>
      <c r="P98" s="31">
        <f t="shared" si="28"/>
        <v>0</v>
      </c>
      <c r="Q98" s="11"/>
      <c r="R98" s="11"/>
      <c r="S98" s="11"/>
      <c r="T98">
        <f t="shared" si="21"/>
        <v>48314.544814750494</v>
      </c>
      <c r="U98">
        <f t="shared" si="22"/>
        <v>32551.691390633066</v>
      </c>
      <c r="V98">
        <f t="shared" si="23"/>
        <v>32.551691390633067</v>
      </c>
      <c r="AA98" s="11"/>
      <c r="AB98" s="11"/>
      <c r="AC98" s="11"/>
      <c r="AD98" s="26"/>
      <c r="AE98" s="26">
        <f t="shared" si="34"/>
        <v>3.2671424459572829</v>
      </c>
      <c r="AF98" s="26">
        <f t="shared" si="15"/>
        <v>2.5275162466686418</v>
      </c>
    </row>
    <row r="99" spans="1:32" x14ac:dyDescent="0.2">
      <c r="A99" s="30">
        <v>44361</v>
      </c>
      <c r="B99">
        <v>75</v>
      </c>
      <c r="C99" t="s">
        <v>31</v>
      </c>
      <c r="D99">
        <v>25.543900000000001</v>
      </c>
      <c r="E99">
        <v>48.371299999999998</v>
      </c>
      <c r="F99">
        <v>26.6782</v>
      </c>
      <c r="G99">
        <v>25.862200000000001</v>
      </c>
      <c r="H99">
        <f t="shared" si="31"/>
        <v>22.827399999999997</v>
      </c>
      <c r="I99">
        <f t="shared" si="8"/>
        <v>1.1342999999999996</v>
      </c>
      <c r="J99" s="13">
        <f t="shared" si="32"/>
        <v>4.9690284482683085</v>
      </c>
      <c r="K99">
        <f t="shared" ref="K99:K130" si="35">I99-(G99-D99)</f>
        <v>0.81599999999999895</v>
      </c>
      <c r="L99" s="13">
        <f t="shared" ref="L99:L130" si="36">(K99/I99)*100</f>
        <v>71.938640571277375</v>
      </c>
      <c r="M99" s="11">
        <f>AVERAGE(J99:J101)</f>
        <v>5.1044647021124794</v>
      </c>
      <c r="N99" s="11">
        <v>4.6998831648537145</v>
      </c>
      <c r="O99" s="31">
        <f>AVERAGE(M99,N99)</f>
        <v>4.9021739334830965</v>
      </c>
      <c r="P99" s="31">
        <f t="shared" si="28"/>
        <v>0.25522323510562395</v>
      </c>
      <c r="Q99" s="11">
        <f>AVERAGE(L99:L101)</f>
        <v>72.887931006494313</v>
      </c>
      <c r="R99" s="11">
        <v>66.425855318754373</v>
      </c>
      <c r="S99" s="11">
        <f t="shared" si="25"/>
        <v>69.656893162624343</v>
      </c>
      <c r="T99">
        <f t="shared" si="21"/>
        <v>49690.284482683084</v>
      </c>
      <c r="U99">
        <f t="shared" si="22"/>
        <v>35746.515152842592</v>
      </c>
      <c r="V99">
        <f t="shared" si="23"/>
        <v>35.746515152842591</v>
      </c>
      <c r="X99">
        <f t="shared" si="33"/>
        <v>37.210011531823149</v>
      </c>
      <c r="Y99">
        <v>31.215660047017348</v>
      </c>
      <c r="Z99">
        <f t="shared" si="26"/>
        <v>34.212835789420247</v>
      </c>
      <c r="AA99" s="11">
        <f t="shared" si="17"/>
        <v>51044.647021124802</v>
      </c>
      <c r="AB99" s="11">
        <f t="shared" si="27"/>
        <v>51.044647021124803</v>
      </c>
      <c r="AC99" s="11">
        <f t="shared" si="18"/>
        <v>37210.011531823147</v>
      </c>
      <c r="AD99" s="26">
        <f t="shared" si="30"/>
        <v>0.14127766370924216</v>
      </c>
      <c r="AE99" s="26">
        <f t="shared" si="34"/>
        <v>0.89102509201827618</v>
      </c>
      <c r="AF99" s="26">
        <f t="shared" si="15"/>
        <v>1.3290593953421936</v>
      </c>
    </row>
    <row r="100" spans="1:32" x14ac:dyDescent="0.2">
      <c r="C100">
        <v>6</v>
      </c>
      <c r="D100">
        <v>21.154299999999999</v>
      </c>
      <c r="E100">
        <v>44.674799999999998</v>
      </c>
      <c r="F100">
        <v>22.3523</v>
      </c>
      <c r="G100">
        <v>21.4693</v>
      </c>
      <c r="H100">
        <f t="shared" si="31"/>
        <v>23.520499999999998</v>
      </c>
      <c r="I100">
        <f t="shared" si="8"/>
        <v>1.1980000000000004</v>
      </c>
      <c r="J100" s="13">
        <f t="shared" si="32"/>
        <v>5.0934291362853701</v>
      </c>
      <c r="K100">
        <f t="shared" si="35"/>
        <v>0.88299999999999912</v>
      </c>
      <c r="L100" s="13">
        <f t="shared" si="36"/>
        <v>73.70617696160258</v>
      </c>
      <c r="M100" s="11"/>
      <c r="N100" s="11"/>
      <c r="O100" s="31"/>
      <c r="P100" s="31">
        <f t="shared" si="28"/>
        <v>0</v>
      </c>
      <c r="Q100" s="11"/>
      <c r="R100" s="11"/>
      <c r="S100" s="11"/>
      <c r="T100">
        <f t="shared" si="21"/>
        <v>50934.291362853699</v>
      </c>
      <c r="U100">
        <f t="shared" si="22"/>
        <v>37541.718926043199</v>
      </c>
      <c r="V100">
        <f t="shared" si="23"/>
        <v>37.541718926043195</v>
      </c>
      <c r="AA100" s="11"/>
      <c r="AB100" s="11"/>
      <c r="AC100" s="11"/>
      <c r="AD100" s="26"/>
      <c r="AE100" s="26">
        <f t="shared" si="34"/>
        <v>2.3198336568981777</v>
      </c>
      <c r="AF100" s="26">
        <f t="shared" si="15"/>
        <v>5.1498439405373828</v>
      </c>
    </row>
    <row r="101" spans="1:32" x14ac:dyDescent="0.2">
      <c r="C101" t="s">
        <v>40</v>
      </c>
      <c r="D101">
        <v>23.905899999999999</v>
      </c>
      <c r="E101">
        <v>47.290300000000002</v>
      </c>
      <c r="F101">
        <v>25.133800000000001</v>
      </c>
      <c r="G101">
        <v>24.237200000000001</v>
      </c>
      <c r="H101">
        <f t="shared" si="31"/>
        <v>23.384400000000003</v>
      </c>
      <c r="I101">
        <f t="shared" si="8"/>
        <v>1.2279000000000018</v>
      </c>
      <c r="J101" s="13">
        <f t="shared" si="32"/>
        <v>5.2509365217837605</v>
      </c>
      <c r="K101">
        <f t="shared" si="35"/>
        <v>0.8965999999999994</v>
      </c>
      <c r="L101" s="13">
        <f t="shared" si="36"/>
        <v>73.018975486602983</v>
      </c>
      <c r="M101" s="11"/>
      <c r="N101" s="11"/>
      <c r="O101" s="31"/>
      <c r="P101" s="31">
        <f t="shared" si="28"/>
        <v>0</v>
      </c>
      <c r="Q101" s="11"/>
      <c r="R101" s="11"/>
      <c r="S101" s="11"/>
      <c r="T101">
        <f t="shared" si="21"/>
        <v>52509.365217837607</v>
      </c>
      <c r="U101">
        <f t="shared" si="22"/>
        <v>38341.800516583673</v>
      </c>
      <c r="V101">
        <f t="shared" si="23"/>
        <v>38.341800516583675</v>
      </c>
      <c r="AA101" s="11"/>
      <c r="AB101" s="11"/>
      <c r="AC101" s="11"/>
      <c r="AD101" s="26"/>
      <c r="AE101" s="26">
        <f t="shared" si="34"/>
        <v>2.2397088869154387</v>
      </c>
      <c r="AF101" s="26">
        <f t="shared" si="15"/>
        <v>5.3522808593389524</v>
      </c>
    </row>
    <row r="102" spans="1:32" x14ac:dyDescent="0.2">
      <c r="A102" s="30">
        <v>44363</v>
      </c>
      <c r="B102">
        <v>77</v>
      </c>
      <c r="C102">
        <v>8</v>
      </c>
      <c r="D102">
        <v>52.221299999999999</v>
      </c>
      <c r="E102">
        <v>75.007000000000005</v>
      </c>
      <c r="F102">
        <v>53.175199999999997</v>
      </c>
      <c r="G102">
        <v>52.513300000000001</v>
      </c>
      <c r="H102">
        <f t="shared" si="31"/>
        <v>22.785700000000006</v>
      </c>
      <c r="I102">
        <f t="shared" si="8"/>
        <v>0.95389999999999731</v>
      </c>
      <c r="J102" s="13">
        <f t="shared" si="32"/>
        <v>4.1863976090267014</v>
      </c>
      <c r="K102">
        <f t="shared" si="35"/>
        <v>0.66189999999999571</v>
      </c>
      <c r="L102" s="13">
        <f t="shared" si="36"/>
        <v>69.388824824404821</v>
      </c>
      <c r="M102" s="11">
        <f>AVERAGE(J102:J104)</f>
        <v>4.2849380002051829</v>
      </c>
      <c r="N102" s="11">
        <v>4.0862346723231289</v>
      </c>
      <c r="O102" s="31">
        <f t="shared" si="24"/>
        <v>4.1855863362641559</v>
      </c>
      <c r="P102" s="31">
        <f t="shared" si="28"/>
        <v>0.21424690001025914</v>
      </c>
      <c r="Q102" s="11">
        <f>AVERAGE(L102:L104)</f>
        <v>68.929918512817196</v>
      </c>
      <c r="R102" s="11">
        <v>68.13751040618304</v>
      </c>
      <c r="S102" s="11">
        <f t="shared" si="25"/>
        <v>68.533714459500118</v>
      </c>
      <c r="T102">
        <f t="shared" si="21"/>
        <v>41863.976090267017</v>
      </c>
      <c r="U102">
        <f t="shared" si="22"/>
        <v>29048.921033806095</v>
      </c>
      <c r="V102">
        <f t="shared" si="23"/>
        <v>29.048921033806096</v>
      </c>
      <c r="X102">
        <f t="shared" si="33"/>
        <v>29.532036547922829</v>
      </c>
      <c r="Y102">
        <v>27.842775198891498</v>
      </c>
      <c r="Z102">
        <f t="shared" si="26"/>
        <v>28.687405873407165</v>
      </c>
      <c r="AA102" s="11">
        <f>AVERAGE(T102:T104)</f>
        <v>42849.380002051832</v>
      </c>
      <c r="AB102" s="11">
        <f t="shared" si="27"/>
        <v>42.849380002051831</v>
      </c>
      <c r="AC102" s="11">
        <f t="shared" si="18"/>
        <v>29532.036547922831</v>
      </c>
      <c r="AD102" s="26">
        <f t="shared" si="30"/>
        <v>0.14198318296806334</v>
      </c>
      <c r="AE102" s="26">
        <f t="shared" si="34"/>
        <v>0.45952339744939263</v>
      </c>
      <c r="AF102" s="26">
        <f t="shared" si="15"/>
        <v>0.79805975408478858</v>
      </c>
    </row>
    <row r="103" spans="1:32" x14ac:dyDescent="0.2">
      <c r="C103" t="s">
        <v>128</v>
      </c>
      <c r="D103">
        <v>18.875399999999999</v>
      </c>
      <c r="E103">
        <v>42.1723</v>
      </c>
      <c r="F103">
        <v>19.858699999999999</v>
      </c>
      <c r="G103">
        <v>19.180900000000001</v>
      </c>
      <c r="H103">
        <f t="shared" si="31"/>
        <v>23.296900000000001</v>
      </c>
      <c r="I103">
        <f t="shared" si="8"/>
        <v>0.98329999999999984</v>
      </c>
      <c r="J103" s="13">
        <f t="shared" si="32"/>
        <v>4.2207332306014953</v>
      </c>
      <c r="K103">
        <f t="shared" si="35"/>
        <v>0.67779999999999774</v>
      </c>
      <c r="L103" s="13">
        <f t="shared" si="36"/>
        <v>68.931150208481426</v>
      </c>
      <c r="M103" s="11"/>
      <c r="N103" s="11"/>
      <c r="O103" s="31"/>
      <c r="P103" s="31">
        <f t="shared" si="28"/>
        <v>0</v>
      </c>
      <c r="Q103" s="11"/>
      <c r="R103" s="11"/>
      <c r="S103" s="11"/>
      <c r="T103">
        <f t="shared" si="21"/>
        <v>42207.332306014956</v>
      </c>
      <c r="U103">
        <f t="shared" si="22"/>
        <v>29093.999630852075</v>
      </c>
      <c r="V103">
        <f t="shared" si="23"/>
        <v>29.093999630852075</v>
      </c>
      <c r="AA103" s="11"/>
      <c r="AB103" s="11"/>
      <c r="AC103" s="11"/>
      <c r="AD103" s="26"/>
      <c r="AE103" s="26">
        <f t="shared" si="34"/>
        <v>1.4642534671548741</v>
      </c>
      <c r="AF103" s="26">
        <f t="shared" si="15"/>
        <v>0.80375174567056584</v>
      </c>
    </row>
    <row r="104" spans="1:32" x14ac:dyDescent="0.2">
      <c r="C104" t="s">
        <v>126</v>
      </c>
      <c r="D104">
        <v>24.517399999999999</v>
      </c>
      <c r="E104">
        <v>46.130899999999997</v>
      </c>
      <c r="F104">
        <v>25.4787</v>
      </c>
      <c r="G104">
        <v>24.820499999999999</v>
      </c>
      <c r="H104">
        <f t="shared" si="31"/>
        <v>21.613499999999998</v>
      </c>
      <c r="I104">
        <f t="shared" si="8"/>
        <v>0.96130000000000138</v>
      </c>
      <c r="J104" s="13">
        <f t="shared" si="32"/>
        <v>4.4476831609873528</v>
      </c>
      <c r="K104">
        <f t="shared" si="35"/>
        <v>0.65820000000000078</v>
      </c>
      <c r="L104" s="13">
        <f t="shared" si="36"/>
        <v>68.469780505565353</v>
      </c>
      <c r="M104" s="11"/>
      <c r="N104" s="11"/>
      <c r="O104" s="31"/>
      <c r="P104" s="31">
        <f t="shared" ref="P104:P135" si="37">(M104/20)</f>
        <v>0</v>
      </c>
      <c r="Q104" s="11"/>
      <c r="R104" s="11"/>
      <c r="S104" s="11"/>
      <c r="T104">
        <f t="shared" si="21"/>
        <v>44476.83160987353</v>
      </c>
      <c r="U104">
        <f t="shared" si="22"/>
        <v>30453.188979110317</v>
      </c>
      <c r="V104">
        <f t="shared" si="23"/>
        <v>30.453188979110315</v>
      </c>
      <c r="AA104" s="11"/>
      <c r="AB104" s="11"/>
      <c r="AC104" s="11"/>
      <c r="AD104" s="26"/>
      <c r="AE104" s="26">
        <f t="shared" si="34"/>
        <v>1.5842658476822384</v>
      </c>
      <c r="AF104" s="26">
        <f t="shared" si="15"/>
        <v>0.93198392811736841</v>
      </c>
    </row>
    <row r="105" spans="1:32" x14ac:dyDescent="0.2">
      <c r="A105" s="30">
        <v>44365</v>
      </c>
      <c r="B105">
        <v>79</v>
      </c>
      <c r="C105">
        <v>1</v>
      </c>
      <c r="D105">
        <v>36.224800000000002</v>
      </c>
      <c r="E105">
        <v>58.005499999999998</v>
      </c>
      <c r="F105">
        <v>37.1128</v>
      </c>
      <c r="G105">
        <v>36.480499999999999</v>
      </c>
      <c r="H105">
        <f t="shared" si="31"/>
        <v>21.780699999999996</v>
      </c>
      <c r="I105">
        <f t="shared" si="8"/>
        <v>0.88799999999999812</v>
      </c>
      <c r="J105" s="13">
        <f t="shared" si="32"/>
        <v>4.0770039530409869</v>
      </c>
      <c r="K105">
        <f t="shared" si="35"/>
        <v>0.63230000000000075</v>
      </c>
      <c r="L105" s="13">
        <f t="shared" si="36"/>
        <v>71.204954954955184</v>
      </c>
      <c r="M105" s="11">
        <f>AVERAGE(J105:J107)</f>
        <v>4.1863684233182061</v>
      </c>
      <c r="N105" s="11">
        <v>3.8235188964135234</v>
      </c>
      <c r="O105" s="31">
        <f t="shared" si="24"/>
        <v>4.004943659865865</v>
      </c>
      <c r="P105" s="31">
        <f t="shared" si="37"/>
        <v>0.20931842116591032</v>
      </c>
      <c r="Q105" s="11">
        <f>AVERAGE(L105:L107)</f>
        <v>69.374703907706433</v>
      </c>
      <c r="R105" s="11">
        <v>64.796253462558056</v>
      </c>
      <c r="S105" s="11">
        <f t="shared" si="25"/>
        <v>67.085478685132244</v>
      </c>
      <c r="T105">
        <f t="shared" si="21"/>
        <v>40770.039530409871</v>
      </c>
      <c r="U105">
        <f t="shared" si="22"/>
        <v>29030.288282745772</v>
      </c>
      <c r="V105">
        <f t="shared" si="23"/>
        <v>29.030288282745772</v>
      </c>
      <c r="X105">
        <f t="shared" si="33"/>
        <v>29.032822751012038</v>
      </c>
      <c r="Y105">
        <v>24.787950388736292</v>
      </c>
      <c r="Z105">
        <f t="shared" si="26"/>
        <v>26.910386569874163</v>
      </c>
      <c r="AA105" s="11">
        <f t="shared" si="17"/>
        <v>41863.684233182059</v>
      </c>
      <c r="AB105" s="11">
        <f t="shared" si="27"/>
        <v>41.863684233182056</v>
      </c>
      <c r="AC105" s="11">
        <f t="shared" si="18"/>
        <v>29032.822751012038</v>
      </c>
      <c r="AD105" s="26">
        <f t="shared" ref="AD105:AD132" si="38">_xlfn.STDEV.S(J105:J107)</f>
        <v>0.10640215446161215</v>
      </c>
      <c r="AE105" s="26">
        <f t="shared" si="34"/>
        <v>1.5850612787941685</v>
      </c>
      <c r="AF105" s="26">
        <f t="shared" si="15"/>
        <v>0.33509404761842898</v>
      </c>
    </row>
    <row r="106" spans="1:32" x14ac:dyDescent="0.2">
      <c r="C106">
        <v>87</v>
      </c>
      <c r="D106">
        <v>22.897099999999998</v>
      </c>
      <c r="E106">
        <v>41.866399999999999</v>
      </c>
      <c r="F106">
        <v>23.692399999999999</v>
      </c>
      <c r="G106">
        <v>23.148</v>
      </c>
      <c r="H106">
        <f t="shared" si="31"/>
        <v>18.9693</v>
      </c>
      <c r="I106">
        <f t="shared" si="8"/>
        <v>0.79530000000000101</v>
      </c>
      <c r="J106" s="13">
        <f t="shared" si="32"/>
        <v>4.1925637740981534</v>
      </c>
      <c r="K106">
        <f t="shared" si="35"/>
        <v>0.54439999999999955</v>
      </c>
      <c r="L106" s="13">
        <f t="shared" si="36"/>
        <v>68.452156418961252</v>
      </c>
      <c r="M106" s="11"/>
      <c r="N106" s="11"/>
      <c r="O106" s="31"/>
      <c r="P106" s="31">
        <f t="shared" si="37"/>
        <v>0</v>
      </c>
      <c r="Q106" s="11"/>
      <c r="R106" s="11"/>
      <c r="S106" s="11"/>
      <c r="T106">
        <f t="shared" si="21"/>
        <v>41925.637740981532</v>
      </c>
      <c r="U106">
        <f t="shared" si="22"/>
        <v>28699.003126103733</v>
      </c>
      <c r="V106">
        <f t="shared" si="23"/>
        <v>28.699003126103733</v>
      </c>
      <c r="AA106" s="11"/>
      <c r="AB106" s="11"/>
      <c r="AC106" s="11"/>
      <c r="AD106" s="26"/>
      <c r="AE106" s="26">
        <f t="shared" si="34"/>
        <v>2.9970752390715911</v>
      </c>
      <c r="AF106" s="26">
        <f t="shared" ref="AF106:AF154" si="39">_xlfn.STDEV.S(U106:U108)/1000</f>
        <v>0.49161091412847852</v>
      </c>
    </row>
    <row r="107" spans="1:32" x14ac:dyDescent="0.2">
      <c r="C107" t="s">
        <v>36</v>
      </c>
      <c r="D107">
        <v>24.593900000000001</v>
      </c>
      <c r="E107">
        <v>44.621699999999997</v>
      </c>
      <c r="F107">
        <v>25.452999999999999</v>
      </c>
      <c r="G107">
        <v>24.864799999999999</v>
      </c>
      <c r="H107">
        <f t="shared" si="31"/>
        <v>20.027799999999996</v>
      </c>
      <c r="I107">
        <f t="shared" si="8"/>
        <v>0.85909999999999798</v>
      </c>
      <c r="J107" s="13">
        <f t="shared" si="32"/>
        <v>4.2895375428154772</v>
      </c>
      <c r="K107">
        <f t="shared" si="35"/>
        <v>0.5882000000000005</v>
      </c>
      <c r="L107" s="13">
        <f t="shared" si="36"/>
        <v>68.467000349202877</v>
      </c>
      <c r="M107" s="11"/>
      <c r="N107" s="11"/>
      <c r="O107" s="31"/>
      <c r="P107" s="31">
        <f t="shared" si="37"/>
        <v>0</v>
      </c>
      <c r="Q107" s="11"/>
      <c r="R107" s="11"/>
      <c r="S107" s="11"/>
      <c r="T107">
        <f t="shared" si="21"/>
        <v>42895.375428154774</v>
      </c>
      <c r="U107">
        <f t="shared" si="22"/>
        <v>29369.176844186612</v>
      </c>
      <c r="V107">
        <f t="shared" si="23"/>
        <v>29.369176844186612</v>
      </c>
      <c r="AA107" s="11"/>
      <c r="AB107" s="11"/>
      <c r="AC107" s="11"/>
      <c r="AD107" s="26"/>
      <c r="AE107" s="26">
        <f t="shared" si="34"/>
        <v>2.7010577791298545</v>
      </c>
      <c r="AF107" s="26">
        <f t="shared" si="39"/>
        <v>0.70903335995450967</v>
      </c>
    </row>
    <row r="108" spans="1:32" x14ac:dyDescent="0.2">
      <c r="A108" s="30">
        <v>44368</v>
      </c>
      <c r="B108">
        <v>82</v>
      </c>
      <c r="C108">
        <v>1</v>
      </c>
      <c r="D108">
        <v>36.2517</v>
      </c>
      <c r="E108">
        <v>59.017499999999998</v>
      </c>
      <c r="F108">
        <v>37.129899999999999</v>
      </c>
      <c r="G108">
        <v>36.4831</v>
      </c>
      <c r="H108">
        <f t="shared" si="31"/>
        <v>22.765799999999999</v>
      </c>
      <c r="I108">
        <f t="shared" si="8"/>
        <v>0.87819999999999965</v>
      </c>
      <c r="J108" s="13">
        <f t="shared" si="32"/>
        <v>3.8575406970104269</v>
      </c>
      <c r="K108">
        <f t="shared" si="35"/>
        <v>0.64679999999999893</v>
      </c>
      <c r="L108" s="13">
        <f t="shared" si="36"/>
        <v>73.650649054884894</v>
      </c>
      <c r="M108" s="11">
        <f>AVERAGE(J108:J110)</f>
        <v>4.0125983370435669</v>
      </c>
      <c r="N108" s="11">
        <v>4.0930819452007503</v>
      </c>
      <c r="O108" s="31">
        <f t="shared" si="24"/>
        <v>4.0528401411221591</v>
      </c>
      <c r="P108" s="31">
        <f t="shared" si="37"/>
        <v>0.20062991685217835</v>
      </c>
      <c r="Q108" s="11">
        <f>AVERAGE(L108:L110)</f>
        <v>71.831174547947569</v>
      </c>
      <c r="R108" s="11">
        <v>65.867070720803056</v>
      </c>
      <c r="S108" s="11">
        <f t="shared" si="25"/>
        <v>68.849122634375306</v>
      </c>
      <c r="T108">
        <f t="shared" si="21"/>
        <v>38575.406970104268</v>
      </c>
      <c r="U108">
        <f t="shared" si="22"/>
        <v>28411.037609045103</v>
      </c>
      <c r="V108">
        <f t="shared" si="23"/>
        <v>28.411037609045103</v>
      </c>
      <c r="X108">
        <f t="shared" si="33"/>
        <v>28.814954079681019</v>
      </c>
      <c r="Y108">
        <v>26.958516040025035</v>
      </c>
      <c r="Z108">
        <f t="shared" si="26"/>
        <v>27.886735059853027</v>
      </c>
      <c r="AA108" s="11">
        <f t="shared" si="17"/>
        <v>40125.983370435679</v>
      </c>
      <c r="AB108" s="11">
        <f t="shared" si="27"/>
        <v>40.125983370435677</v>
      </c>
      <c r="AC108" s="11">
        <f t="shared" si="18"/>
        <v>28814.954079681022</v>
      </c>
      <c r="AD108" s="26">
        <f t="shared" si="38"/>
        <v>0.15504610254959492</v>
      </c>
      <c r="AE108" s="26">
        <f t="shared" si="34"/>
        <v>1.9683349507301027</v>
      </c>
      <c r="AF108" s="26">
        <f t="shared" si="39"/>
        <v>1.0898207006515759</v>
      </c>
    </row>
    <row r="109" spans="1:32" x14ac:dyDescent="0.2">
      <c r="C109">
        <v>6</v>
      </c>
      <c r="D109">
        <v>21.162600000000001</v>
      </c>
      <c r="E109">
        <v>42.206200000000003</v>
      </c>
      <c r="F109">
        <v>22.007000000000001</v>
      </c>
      <c r="G109">
        <v>21.418099999999999</v>
      </c>
      <c r="H109">
        <f t="shared" si="31"/>
        <v>21.043600000000001</v>
      </c>
      <c r="I109">
        <f t="shared" si="8"/>
        <v>0.84440000000000026</v>
      </c>
      <c r="J109" s="13">
        <f t="shared" si="32"/>
        <v>4.0126214145868584</v>
      </c>
      <c r="K109">
        <f t="shared" si="35"/>
        <v>0.58890000000000242</v>
      </c>
      <c r="L109" s="13">
        <f t="shared" si="36"/>
        <v>69.741828517290656</v>
      </c>
      <c r="M109" s="11"/>
      <c r="N109" s="11"/>
      <c r="O109" s="31"/>
      <c r="P109" s="31">
        <f t="shared" si="37"/>
        <v>0</v>
      </c>
      <c r="Q109" s="11"/>
      <c r="R109" s="11"/>
      <c r="S109" s="11"/>
      <c r="T109">
        <f t="shared" si="21"/>
        <v>40126.214145868587</v>
      </c>
      <c r="U109">
        <f t="shared" si="22"/>
        <v>27984.755460092492</v>
      </c>
      <c r="V109">
        <f t="shared" si="23"/>
        <v>27.984755460092494</v>
      </c>
      <c r="AA109" s="11"/>
      <c r="AB109" s="11"/>
      <c r="AC109" s="11"/>
      <c r="AD109" s="26"/>
      <c r="AE109" s="26">
        <f t="shared" si="34"/>
        <v>2.9015195567454763</v>
      </c>
      <c r="AF109" s="26">
        <f t="shared" si="39"/>
        <v>2.5379505263591002</v>
      </c>
    </row>
    <row r="110" spans="1:32" x14ac:dyDescent="0.2">
      <c r="C110" t="s">
        <v>35</v>
      </c>
      <c r="D110">
        <v>24.6448</v>
      </c>
      <c r="E110">
        <v>46.206200000000003</v>
      </c>
      <c r="F110">
        <v>25.543399999999998</v>
      </c>
      <c r="G110">
        <v>24.895499999999998</v>
      </c>
      <c r="H110">
        <f t="shared" si="31"/>
        <v>21.561400000000003</v>
      </c>
      <c r="I110">
        <f t="shared" si="8"/>
        <v>0.89859999999999829</v>
      </c>
      <c r="J110" s="13">
        <f t="shared" si="32"/>
        <v>4.1676328995334169</v>
      </c>
      <c r="K110">
        <f t="shared" si="35"/>
        <v>0.64789999999999992</v>
      </c>
      <c r="L110" s="13">
        <f t="shared" si="36"/>
        <v>72.101046071667156</v>
      </c>
      <c r="M110" s="11"/>
      <c r="N110" s="11"/>
      <c r="O110" s="31"/>
      <c r="P110" s="31">
        <f t="shared" si="37"/>
        <v>0</v>
      </c>
      <c r="Q110" s="11"/>
      <c r="R110" s="11"/>
      <c r="S110" s="11"/>
      <c r="T110">
        <f t="shared" si="21"/>
        <v>41676.328995334166</v>
      </c>
      <c r="U110">
        <f t="shared" si="22"/>
        <v>30049.069169905473</v>
      </c>
      <c r="V110">
        <f t="shared" si="23"/>
        <v>30.049069169905472</v>
      </c>
      <c r="AA110" s="11"/>
      <c r="AB110" s="11"/>
      <c r="AC110" s="11"/>
      <c r="AD110" s="26"/>
      <c r="AE110" s="26">
        <f t="shared" si="34"/>
        <v>3.9155107648303207</v>
      </c>
      <c r="AF110" s="26">
        <f t="shared" si="39"/>
        <v>3.4407860230228571</v>
      </c>
    </row>
    <row r="111" spans="1:32" x14ac:dyDescent="0.2">
      <c r="A111" s="30">
        <v>44370</v>
      </c>
      <c r="B111">
        <v>84</v>
      </c>
      <c r="C111" t="s">
        <v>31</v>
      </c>
      <c r="D111">
        <v>25.536999999999999</v>
      </c>
      <c r="E111">
        <v>45.496200000000002</v>
      </c>
      <c r="F111">
        <v>26.289300000000001</v>
      </c>
      <c r="G111">
        <v>25.790299999999998</v>
      </c>
      <c r="H111">
        <f t="shared" si="31"/>
        <v>19.959200000000003</v>
      </c>
      <c r="I111">
        <f t="shared" si="8"/>
        <v>0.75230000000000175</v>
      </c>
      <c r="J111" s="13">
        <f t="shared" si="32"/>
        <v>3.7691891458575579</v>
      </c>
      <c r="K111">
        <f t="shared" si="35"/>
        <v>0.49900000000000233</v>
      </c>
      <c r="L111" s="13">
        <f t="shared" si="36"/>
        <v>66.32992157384038</v>
      </c>
      <c r="M111" s="11">
        <f>AVERAGE(J111:J113)</f>
        <v>3.7289642798705294</v>
      </c>
      <c r="N111" s="11">
        <v>3.6923285806372461</v>
      </c>
      <c r="O111" s="31">
        <f t="shared" si="24"/>
        <v>3.7106464302538877</v>
      </c>
      <c r="P111" s="31">
        <f t="shared" si="37"/>
        <v>0.18644821399352646</v>
      </c>
      <c r="Q111" s="11">
        <f>AVERAGE(L111:L113)</f>
        <v>65.635345214858887</v>
      </c>
      <c r="R111" s="11">
        <v>63.022758118571659</v>
      </c>
      <c r="S111" s="11">
        <f t="shared" si="25"/>
        <v>64.329051666715273</v>
      </c>
      <c r="T111">
        <f t="shared" si="21"/>
        <v>37691.891458575577</v>
      </c>
      <c r="U111">
        <f t="shared" si="22"/>
        <v>25001.002044170222</v>
      </c>
      <c r="V111">
        <f t="shared" si="23"/>
        <v>25.001002044170221</v>
      </c>
      <c r="X111">
        <f t="shared" si="33"/>
        <v>24.479942966509842</v>
      </c>
      <c r="Y111">
        <v>23.269796504275742</v>
      </c>
      <c r="Z111">
        <f t="shared" si="26"/>
        <v>23.874869735392792</v>
      </c>
      <c r="AA111" s="11">
        <f t="shared" si="17"/>
        <v>37289.642798705288</v>
      </c>
      <c r="AB111" s="11">
        <f t="shared" si="27"/>
        <v>37.289642798705287</v>
      </c>
      <c r="AC111" s="11">
        <f t="shared" si="18"/>
        <v>24479.942966509843</v>
      </c>
      <c r="AD111" s="26">
        <f t="shared" si="38"/>
        <v>8.4287505284769915E-2</v>
      </c>
      <c r="AE111" s="26">
        <f t="shared" si="34"/>
        <v>0.89055534848315554</v>
      </c>
      <c r="AF111" s="26">
        <f t="shared" si="39"/>
        <v>0.87071582882863807</v>
      </c>
    </row>
    <row r="112" spans="1:32" x14ac:dyDescent="0.2">
      <c r="C112" t="s">
        <v>130</v>
      </c>
      <c r="D112">
        <v>25.648199999999999</v>
      </c>
      <c r="E112">
        <v>46.074399999999997</v>
      </c>
      <c r="F112">
        <v>26.3901</v>
      </c>
      <c r="G112">
        <v>25.910599999999999</v>
      </c>
      <c r="H112">
        <f t="shared" si="31"/>
        <v>20.426199999999998</v>
      </c>
      <c r="I112">
        <f t="shared" si="8"/>
        <v>0.74190000000000111</v>
      </c>
      <c r="J112" s="13">
        <f t="shared" si="32"/>
        <v>3.6320999500641391</v>
      </c>
      <c r="K112">
        <f t="shared" si="35"/>
        <v>0.47950000000000159</v>
      </c>
      <c r="L112" s="13">
        <f t="shared" si="36"/>
        <v>64.631351934223062</v>
      </c>
      <c r="M112" s="11"/>
      <c r="N112" s="11"/>
      <c r="O112" s="31"/>
      <c r="P112" s="31">
        <f t="shared" si="37"/>
        <v>0</v>
      </c>
      <c r="Q112" s="11"/>
      <c r="R112" s="11"/>
      <c r="S112" s="11"/>
      <c r="T112">
        <f t="shared" si="21"/>
        <v>36320.999500641388</v>
      </c>
      <c r="U112">
        <f t="shared" si="22"/>
        <v>23474.75301328694</v>
      </c>
      <c r="V112">
        <f t="shared" si="23"/>
        <v>23.474753013286939</v>
      </c>
      <c r="AA112" s="11"/>
      <c r="AB112" s="11"/>
      <c r="AC112" s="11"/>
      <c r="AD112" s="26"/>
      <c r="AE112" s="26">
        <f t="shared" si="34"/>
        <v>2.4060392289867409</v>
      </c>
      <c r="AF112" s="26">
        <f t="shared" si="39"/>
        <v>1.3545513470184982</v>
      </c>
    </row>
    <row r="113" spans="1:32" x14ac:dyDescent="0.2">
      <c r="C113" t="s">
        <v>36</v>
      </c>
      <c r="D113">
        <v>24.596800000000002</v>
      </c>
      <c r="E113">
        <v>46.308</v>
      </c>
      <c r="F113">
        <v>25.418700000000001</v>
      </c>
      <c r="G113">
        <v>24.8767</v>
      </c>
      <c r="H113">
        <f t="shared" si="31"/>
        <v>21.711199999999998</v>
      </c>
      <c r="I113">
        <f t="shared" si="8"/>
        <v>0.82189999999999941</v>
      </c>
      <c r="J113" s="13">
        <f t="shared" si="32"/>
        <v>3.7856037436898902</v>
      </c>
      <c r="K113">
        <f t="shared" si="35"/>
        <v>0.54200000000000159</v>
      </c>
      <c r="L113" s="13">
        <f t="shared" si="36"/>
        <v>65.944762136513205</v>
      </c>
      <c r="M113" s="11"/>
      <c r="N113" s="11"/>
      <c r="O113" s="31"/>
      <c r="P113" s="31">
        <f t="shared" si="37"/>
        <v>0</v>
      </c>
      <c r="Q113" s="11"/>
      <c r="R113" s="11"/>
      <c r="S113" s="11"/>
      <c r="T113">
        <f t="shared" si="21"/>
        <v>37856.0374368989</v>
      </c>
      <c r="U113">
        <f t="shared" si="22"/>
        <v>24964.073842072368</v>
      </c>
      <c r="V113">
        <f t="shared" si="23"/>
        <v>24.96407384207237</v>
      </c>
      <c r="AA113" s="11"/>
      <c r="AB113" s="11"/>
      <c r="AC113" s="11"/>
      <c r="AD113" s="26"/>
      <c r="AE113" s="26">
        <f t="shared" si="34"/>
        <v>1.6783390645063836</v>
      </c>
      <c r="AF113" s="26">
        <f t="shared" si="39"/>
        <v>0.67683231108456499</v>
      </c>
    </row>
    <row r="114" spans="1:32" x14ac:dyDescent="0.2">
      <c r="A114" s="30">
        <v>44372</v>
      </c>
      <c r="B114">
        <v>86</v>
      </c>
      <c r="C114" t="s">
        <v>97</v>
      </c>
      <c r="D114">
        <v>43.692300000000003</v>
      </c>
      <c r="E114">
        <v>66.064999999999998</v>
      </c>
      <c r="F114">
        <v>44.537500000000001</v>
      </c>
      <c r="G114">
        <v>43.951799999999999</v>
      </c>
      <c r="H114">
        <f t="shared" si="31"/>
        <v>22.372699999999995</v>
      </c>
      <c r="I114">
        <f t="shared" si="8"/>
        <v>0.8451999999999984</v>
      </c>
      <c r="J114" s="13">
        <f t="shared" si="32"/>
        <v>3.7778185020136088</v>
      </c>
      <c r="K114">
        <f t="shared" si="35"/>
        <v>0.58570000000000277</v>
      </c>
      <c r="L114" s="13">
        <f t="shared" si="36"/>
        <v>69.297207761477026</v>
      </c>
      <c r="M114" s="11">
        <f>AVERAGE(J114:J116)</f>
        <v>3.8338560495509397</v>
      </c>
      <c r="N114" s="11">
        <v>3.1390096348491165</v>
      </c>
      <c r="O114" s="31">
        <f t="shared" si="24"/>
        <v>3.4864328422000281</v>
      </c>
      <c r="P114" s="31">
        <f t="shared" si="37"/>
        <v>0.191692802477547</v>
      </c>
      <c r="Q114" s="11">
        <f>AVERAGE(L114:L116)</f>
        <v>68.298765490223545</v>
      </c>
      <c r="R114" s="11">
        <v>67.200862473499953</v>
      </c>
      <c r="S114" s="11">
        <f t="shared" si="25"/>
        <v>67.749813981861749</v>
      </c>
      <c r="T114">
        <f t="shared" si="21"/>
        <v>37778.185020136087</v>
      </c>
      <c r="U114">
        <f t="shared" si="22"/>
        <v>26179.227361918896</v>
      </c>
      <c r="V114">
        <f t="shared" si="23"/>
        <v>26.179227361918898</v>
      </c>
      <c r="X114">
        <f t="shared" si="33"/>
        <v>26.181992490876635</v>
      </c>
      <c r="Y114">
        <v>20.726486116590582</v>
      </c>
      <c r="Z114">
        <f t="shared" si="26"/>
        <v>23.454239303733608</v>
      </c>
      <c r="AA114" s="11">
        <f t="shared" si="17"/>
        <v>38338.560495509395</v>
      </c>
      <c r="AB114" s="11">
        <f t="shared" si="27"/>
        <v>38.338560495509398</v>
      </c>
      <c r="AC114" s="11">
        <f t="shared" si="18"/>
        <v>26181.99249087663</v>
      </c>
      <c r="AD114" s="26">
        <f t="shared" si="38"/>
        <v>5.0033749509591934E-2</v>
      </c>
      <c r="AE114" s="26">
        <f t="shared" si="34"/>
        <v>0.86529157979157101</v>
      </c>
      <c r="AF114" s="26">
        <f t="shared" si="39"/>
        <v>9.5172186410811779E-2</v>
      </c>
    </row>
    <row r="115" spans="1:32" x14ac:dyDescent="0.2">
      <c r="C115">
        <v>84</v>
      </c>
      <c r="D115">
        <v>26.266300000000001</v>
      </c>
      <c r="E115">
        <v>48.065399999999997</v>
      </c>
      <c r="F115">
        <v>27.105499999999999</v>
      </c>
      <c r="G115">
        <v>26.536799999999999</v>
      </c>
      <c r="H115">
        <f t="shared" si="31"/>
        <v>21.799099999999996</v>
      </c>
      <c r="I115">
        <f t="shared" si="8"/>
        <v>0.83919999999999817</v>
      </c>
      <c r="J115" s="13">
        <f t="shared" si="32"/>
        <v>3.8497002169814278</v>
      </c>
      <c r="K115">
        <f t="shared" si="35"/>
        <v>0.56869999999999976</v>
      </c>
      <c r="L115" s="13">
        <f t="shared" si="36"/>
        <v>67.766920877025854</v>
      </c>
      <c r="M115" s="11"/>
      <c r="N115" s="11"/>
      <c r="O115" s="31"/>
      <c r="P115" s="31">
        <f t="shared" si="37"/>
        <v>0</v>
      </c>
      <c r="Q115" s="11"/>
      <c r="R115" s="11"/>
      <c r="S115" s="11"/>
      <c r="T115">
        <f t="shared" si="21"/>
        <v>38497.002169814274</v>
      </c>
      <c r="U115">
        <f t="shared" si="22"/>
        <v>26088.233000444965</v>
      </c>
      <c r="V115">
        <f t="shared" si="23"/>
        <v>26.088233000444966</v>
      </c>
      <c r="AA115" s="11"/>
      <c r="AB115" s="11"/>
      <c r="AC115" s="11"/>
      <c r="AD115" s="26"/>
      <c r="AE115" s="26">
        <f t="shared" si="34"/>
        <v>2.1099402213707235</v>
      </c>
      <c r="AF115" s="26">
        <f t="shared" si="39"/>
        <v>0.9128965355450257</v>
      </c>
    </row>
    <row r="116" spans="1:32" x14ac:dyDescent="0.2">
      <c r="C116" t="s">
        <v>126</v>
      </c>
      <c r="D116">
        <v>24.514600000000002</v>
      </c>
      <c r="E116">
        <v>45.554600000000001</v>
      </c>
      <c r="F116">
        <v>25.329699999999999</v>
      </c>
      <c r="G116">
        <v>24.776800000000001</v>
      </c>
      <c r="H116">
        <f t="shared" si="31"/>
        <v>21.04</v>
      </c>
      <c r="I116">
        <f t="shared" si="8"/>
        <v>0.81509999999999749</v>
      </c>
      <c r="J116" s="13">
        <f t="shared" si="32"/>
        <v>3.8740494296577834</v>
      </c>
      <c r="K116">
        <f t="shared" si="35"/>
        <v>0.5528999999999975</v>
      </c>
      <c r="L116" s="13">
        <f t="shared" si="36"/>
        <v>67.832167832167727</v>
      </c>
      <c r="M116" s="11"/>
      <c r="N116" s="11"/>
      <c r="O116" s="31"/>
      <c r="P116" s="31">
        <f t="shared" si="37"/>
        <v>0</v>
      </c>
      <c r="Q116" s="11"/>
      <c r="R116" s="11"/>
      <c r="S116" s="11"/>
      <c r="T116">
        <f t="shared" si="21"/>
        <v>38740.494296577832</v>
      </c>
      <c r="U116">
        <f t="shared" si="22"/>
        <v>26278.517110266039</v>
      </c>
      <c r="V116">
        <f t="shared" si="23"/>
        <v>26.278517110266037</v>
      </c>
      <c r="AA116" s="11"/>
      <c r="AB116" s="11"/>
      <c r="AC116" s="11"/>
      <c r="AD116" s="26"/>
      <c r="AE116" s="26">
        <f t="shared" si="34"/>
        <v>1.8641401810620233</v>
      </c>
      <c r="AF116" s="26">
        <f t="shared" si="39"/>
        <v>2.7871069886151854</v>
      </c>
    </row>
    <row r="117" spans="1:32" x14ac:dyDescent="0.2">
      <c r="A117" s="30">
        <v>44375</v>
      </c>
      <c r="B117">
        <v>89</v>
      </c>
      <c r="C117" t="s">
        <v>131</v>
      </c>
      <c r="D117">
        <v>24.508900000000001</v>
      </c>
      <c r="E117">
        <v>46.522199999999998</v>
      </c>
      <c r="F117">
        <v>25.364000000000001</v>
      </c>
      <c r="G117">
        <v>24.753</v>
      </c>
      <c r="H117">
        <f t="shared" si="31"/>
        <v>22.013299999999997</v>
      </c>
      <c r="I117">
        <f t="shared" si="8"/>
        <v>0.85510000000000019</v>
      </c>
      <c r="J117" s="13">
        <f t="shared" si="32"/>
        <v>3.8844698432311393</v>
      </c>
      <c r="K117">
        <f t="shared" si="35"/>
        <v>0.61100000000000065</v>
      </c>
      <c r="L117" s="13">
        <f t="shared" si="36"/>
        <v>71.453631154251028</v>
      </c>
      <c r="M117" s="11">
        <f t="shared" ref="M117:M132" si="40">AVERAGE(J117:J119)</f>
        <v>4.0579810358227766</v>
      </c>
      <c r="N117" s="11">
        <v>3.7643864940595466</v>
      </c>
      <c r="O117" s="31">
        <f t="shared" si="24"/>
        <v>3.9111837649411614</v>
      </c>
      <c r="P117" s="31">
        <f t="shared" si="37"/>
        <v>0.20289905179113882</v>
      </c>
      <c r="Q117" s="11">
        <f>AVERAGE(L117:L119)</f>
        <v>71.107329018146956</v>
      </c>
      <c r="R117" s="11">
        <v>68.754020567890464</v>
      </c>
      <c r="S117" s="11">
        <f t="shared" si="25"/>
        <v>69.93067479301871</v>
      </c>
      <c r="T117">
        <f t="shared" si="21"/>
        <v>38844.698432311394</v>
      </c>
      <c r="U117">
        <f t="shared" si="22"/>
        <v>27755.947540804911</v>
      </c>
      <c r="V117">
        <f t="shared" si="23"/>
        <v>27.755947540804911</v>
      </c>
      <c r="X117">
        <f t="shared" si="33"/>
        <v>28.83986836750789</v>
      </c>
      <c r="Y117">
        <v>25.884547029498254</v>
      </c>
      <c r="Z117">
        <f t="shared" si="26"/>
        <v>27.36220769850307</v>
      </c>
      <c r="AA117" s="11">
        <f t="shared" si="17"/>
        <v>40579.810358227762</v>
      </c>
      <c r="AB117" s="11">
        <f t="shared" si="27"/>
        <v>40.579810358227761</v>
      </c>
      <c r="AC117" s="11">
        <f t="shared" si="18"/>
        <v>28839.86836750789</v>
      </c>
      <c r="AD117" s="26">
        <f t="shared" si="38"/>
        <v>0.38408584490549724</v>
      </c>
      <c r="AE117" s="26">
        <f t="shared" si="34"/>
        <v>0.60370269018104583</v>
      </c>
      <c r="AF117" s="26">
        <f t="shared" si="39"/>
        <v>2.4750787375600662</v>
      </c>
    </row>
    <row r="118" spans="1:32" x14ac:dyDescent="0.2">
      <c r="C118" t="s">
        <v>97</v>
      </c>
      <c r="D118">
        <v>43.670699999999997</v>
      </c>
      <c r="E118">
        <v>62.258099999999999</v>
      </c>
      <c r="F118">
        <v>44.506799999999998</v>
      </c>
      <c r="G118">
        <v>43.918100000000003</v>
      </c>
      <c r="H118">
        <f t="shared" si="31"/>
        <v>18.587400000000002</v>
      </c>
      <c r="I118">
        <f t="shared" si="8"/>
        <v>0.83610000000000184</v>
      </c>
      <c r="J118" s="13">
        <f t="shared" si="32"/>
        <v>4.4982084637980657</v>
      </c>
      <c r="K118">
        <f t="shared" si="35"/>
        <v>0.58869999999999578</v>
      </c>
      <c r="L118" s="13">
        <f t="shared" si="36"/>
        <v>70.410238009806775</v>
      </c>
      <c r="M118" s="11"/>
      <c r="N118" s="11"/>
      <c r="O118" s="31"/>
      <c r="P118" s="31">
        <f t="shared" si="37"/>
        <v>0</v>
      </c>
      <c r="Q118" s="11"/>
      <c r="R118" s="11"/>
      <c r="S118" s="11"/>
      <c r="T118">
        <f t="shared" si="21"/>
        <v>44982.084637980661</v>
      </c>
      <c r="U118">
        <f t="shared" si="22"/>
        <v>31671.992855374912</v>
      </c>
      <c r="V118">
        <f t="shared" si="23"/>
        <v>31.671992855374913</v>
      </c>
      <c r="AA118" s="11"/>
      <c r="AB118" s="11"/>
      <c r="AC118" s="11"/>
      <c r="AD118" s="26"/>
      <c r="AE118" s="26">
        <f t="shared" si="34"/>
        <v>2.0654477557507542</v>
      </c>
      <c r="AF118" s="26">
        <f t="shared" si="39"/>
        <v>4.6355109487292809</v>
      </c>
    </row>
    <row r="119" spans="1:32" x14ac:dyDescent="0.2">
      <c r="C119">
        <v>3</v>
      </c>
      <c r="D119">
        <v>44.5154</v>
      </c>
      <c r="E119">
        <v>64.920199999999994</v>
      </c>
      <c r="F119">
        <v>45.289000000000001</v>
      </c>
      <c r="G119">
        <v>44.736199999999997</v>
      </c>
      <c r="H119">
        <f t="shared" si="31"/>
        <v>20.404799999999994</v>
      </c>
      <c r="I119">
        <f t="shared" si="8"/>
        <v>0.77360000000000184</v>
      </c>
      <c r="J119" s="13">
        <f t="shared" si="32"/>
        <v>3.7912648004391225</v>
      </c>
      <c r="K119">
        <f t="shared" si="35"/>
        <v>0.55280000000000484</v>
      </c>
      <c r="L119" s="13">
        <f t="shared" si="36"/>
        <v>71.458117890383079</v>
      </c>
      <c r="M119" s="11"/>
      <c r="N119" s="11"/>
      <c r="O119" s="31"/>
      <c r="P119" s="31">
        <f t="shared" si="37"/>
        <v>0</v>
      </c>
      <c r="Q119" s="11"/>
      <c r="R119" s="11"/>
      <c r="S119" s="11"/>
      <c r="T119">
        <f t="shared" si="21"/>
        <v>37912.648004391223</v>
      </c>
      <c r="U119">
        <f t="shared" si="22"/>
        <v>27091.66470634385</v>
      </c>
      <c r="V119">
        <f t="shared" si="23"/>
        <v>27.091664706343849</v>
      </c>
      <c r="AA119" s="11"/>
      <c r="AB119" s="11"/>
      <c r="AC119" s="11"/>
      <c r="AD119" s="26"/>
      <c r="AE119" s="26">
        <f t="shared" si="34"/>
        <v>2.0678059122114179</v>
      </c>
      <c r="AF119" s="26">
        <f t="shared" si="39"/>
        <v>2.5081091195900167</v>
      </c>
    </row>
    <row r="120" spans="1:32" x14ac:dyDescent="0.2">
      <c r="A120" s="30">
        <v>44377</v>
      </c>
      <c r="B120">
        <v>91</v>
      </c>
      <c r="C120" t="s">
        <v>128</v>
      </c>
      <c r="D120">
        <v>18.8538</v>
      </c>
      <c r="E120">
        <v>38.634</v>
      </c>
      <c r="F120">
        <v>19.5105</v>
      </c>
      <c r="G120">
        <v>19.067399999999999</v>
      </c>
      <c r="H120">
        <f t="shared" si="31"/>
        <v>19.780200000000001</v>
      </c>
      <c r="I120">
        <f t="shared" si="8"/>
        <v>0.65670000000000073</v>
      </c>
      <c r="J120" s="13">
        <f t="shared" si="32"/>
        <v>3.3199866533199902</v>
      </c>
      <c r="K120">
        <f t="shared" si="35"/>
        <v>0.44310000000000116</v>
      </c>
      <c r="L120" s="13">
        <f t="shared" si="36"/>
        <v>67.473732297853005</v>
      </c>
      <c r="M120" s="11">
        <f t="shared" si="40"/>
        <v>3.5337461756511246</v>
      </c>
      <c r="N120" s="11">
        <v>3.47572037417669</v>
      </c>
      <c r="O120" s="31">
        <f t="shared" si="24"/>
        <v>3.5047332749139075</v>
      </c>
      <c r="P120" s="31">
        <f t="shared" si="37"/>
        <v>0.17668730878255623</v>
      </c>
      <c r="Q120" s="11">
        <f>AVERAGE(L120:L122)</f>
        <v>68.472740182302189</v>
      </c>
      <c r="R120" s="11">
        <v>67.299342238399134</v>
      </c>
      <c r="S120" s="11">
        <f t="shared" si="25"/>
        <v>67.886041210350669</v>
      </c>
      <c r="T120">
        <f t="shared" si="21"/>
        <v>33199.8665331999</v>
      </c>
      <c r="U120">
        <f t="shared" si="22"/>
        <v>22401.189067855794</v>
      </c>
      <c r="V120">
        <f t="shared" si="23"/>
        <v>22.401189067855793</v>
      </c>
      <c r="X120">
        <f t="shared" si="33"/>
        <v>24.201102856635696</v>
      </c>
      <c r="Y120">
        <v>23.392806120561154</v>
      </c>
      <c r="Z120">
        <f t="shared" si="26"/>
        <v>23.796954488598423</v>
      </c>
      <c r="AA120" s="11">
        <f t="shared" si="17"/>
        <v>35337.461756511242</v>
      </c>
      <c r="AB120" s="11">
        <f t="shared" si="27"/>
        <v>35.337461756511239</v>
      </c>
      <c r="AC120" s="11">
        <f t="shared" si="18"/>
        <v>24201.102856635698</v>
      </c>
      <c r="AD120" s="26">
        <f t="shared" si="38"/>
        <v>0.26993003336153254</v>
      </c>
      <c r="AE120" s="26">
        <f t="shared" si="34"/>
        <v>0.9826793998160247</v>
      </c>
      <c r="AF120" s="26">
        <f t="shared" si="39"/>
        <v>1.9582436971205865</v>
      </c>
    </row>
    <row r="121" spans="1:32" x14ac:dyDescent="0.2">
      <c r="C121" t="s">
        <v>36</v>
      </c>
      <c r="D121">
        <v>24.590699999999998</v>
      </c>
      <c r="E121">
        <v>42.299500000000002</v>
      </c>
      <c r="F121">
        <v>25.270199999999999</v>
      </c>
      <c r="G121">
        <v>24.8047</v>
      </c>
      <c r="H121">
        <f t="shared" si="31"/>
        <v>17.708800000000004</v>
      </c>
      <c r="I121">
        <f t="shared" si="8"/>
        <v>0.67950000000000088</v>
      </c>
      <c r="J121" s="13">
        <f t="shared" si="32"/>
        <v>3.8370753523671892</v>
      </c>
      <c r="K121">
        <f t="shared" si="35"/>
        <v>0.46549999999999869</v>
      </c>
      <c r="L121" s="13">
        <f t="shared" si="36"/>
        <v>68.506254598969548</v>
      </c>
      <c r="M121" s="11"/>
      <c r="N121" s="11"/>
      <c r="O121" s="31"/>
      <c r="P121" s="31">
        <f t="shared" si="37"/>
        <v>0</v>
      </c>
      <c r="Q121" s="11"/>
      <c r="R121" s="11"/>
      <c r="S121" s="11"/>
      <c r="T121">
        <f t="shared" si="21"/>
        <v>38370.75352367189</v>
      </c>
      <c r="U121">
        <f t="shared" si="22"/>
        <v>26286.366100469742</v>
      </c>
      <c r="V121">
        <f t="shared" si="23"/>
        <v>26.286366100469742</v>
      </c>
      <c r="AA121" s="11"/>
      <c r="AB121" s="11"/>
      <c r="AC121" s="11"/>
      <c r="AD121" s="26"/>
      <c r="AE121" s="26">
        <f t="shared" si="34"/>
        <v>0.46972203561444725</v>
      </c>
      <c r="AF121" s="26">
        <f t="shared" si="39"/>
        <v>1.1853240969007823</v>
      </c>
    </row>
    <row r="122" spans="1:32" x14ac:dyDescent="0.2">
      <c r="C122" t="s">
        <v>33</v>
      </c>
      <c r="D122">
        <v>24.443000000000001</v>
      </c>
      <c r="E122">
        <v>45.220100000000002</v>
      </c>
      <c r="F122">
        <v>25.1586</v>
      </c>
      <c r="G122">
        <v>24.6617</v>
      </c>
      <c r="H122">
        <f t="shared" si="31"/>
        <v>20.777100000000001</v>
      </c>
      <c r="I122">
        <f t="shared" si="8"/>
        <v>0.71559999999999846</v>
      </c>
      <c r="J122" s="13">
        <f t="shared" si="32"/>
        <v>3.4441765212661943</v>
      </c>
      <c r="K122">
        <f t="shared" si="35"/>
        <v>0.49690000000000012</v>
      </c>
      <c r="L122" s="13">
        <f t="shared" si="36"/>
        <v>69.438233650084015</v>
      </c>
      <c r="M122" s="11"/>
      <c r="N122" s="11"/>
      <c r="O122" s="31"/>
      <c r="P122" s="31">
        <f t="shared" si="37"/>
        <v>0</v>
      </c>
      <c r="Q122" s="11"/>
      <c r="R122" s="11"/>
      <c r="S122" s="11"/>
      <c r="T122">
        <f t="shared" si="21"/>
        <v>34441.765212661943</v>
      </c>
      <c r="U122">
        <f t="shared" si="22"/>
        <v>23915.753401581554</v>
      </c>
      <c r="V122">
        <f t="shared" si="23"/>
        <v>23.915753401581554</v>
      </c>
      <c r="AA122" s="11"/>
      <c r="AB122" s="11"/>
      <c r="AC122" s="11"/>
      <c r="AD122" s="26"/>
      <c r="AE122" s="26">
        <f t="shared" si="34"/>
        <v>0.42828073163998032</v>
      </c>
      <c r="AF122" s="26">
        <f t="shared" si="39"/>
        <v>0.71917613303821304</v>
      </c>
    </row>
    <row r="123" spans="1:32" x14ac:dyDescent="0.2">
      <c r="A123" s="30">
        <v>44379</v>
      </c>
      <c r="B123">
        <v>93</v>
      </c>
      <c r="C123">
        <v>25</v>
      </c>
      <c r="D123">
        <v>25.693899999999999</v>
      </c>
      <c r="E123">
        <v>47.778700000000001</v>
      </c>
      <c r="F123">
        <v>26.4968</v>
      </c>
      <c r="G123">
        <v>25.9422</v>
      </c>
      <c r="H123">
        <f t="shared" si="31"/>
        <v>22.084800000000001</v>
      </c>
      <c r="I123">
        <f t="shared" si="8"/>
        <v>0.80290000000000106</v>
      </c>
      <c r="J123" s="13">
        <f t="shared" si="32"/>
        <v>3.6355321306962298</v>
      </c>
      <c r="K123">
        <f t="shared" si="35"/>
        <v>0.55460000000000065</v>
      </c>
      <c r="L123" s="13">
        <f t="shared" si="36"/>
        <v>69.074604558475514</v>
      </c>
      <c r="M123" s="11">
        <f t="shared" si="40"/>
        <v>3.6711046724959466</v>
      </c>
      <c r="N123" s="11">
        <v>3.4632635108064798</v>
      </c>
      <c r="O123" s="31">
        <f t="shared" si="24"/>
        <v>3.567184091651213</v>
      </c>
      <c r="P123" s="31">
        <f t="shared" si="37"/>
        <v>0.18355523362479734</v>
      </c>
      <c r="Q123" s="11">
        <f>AVERAGE(L123:L125)</f>
        <v>68.934217748445747</v>
      </c>
      <c r="R123" s="11">
        <v>67.685593239544986</v>
      </c>
      <c r="S123" s="11">
        <f t="shared" si="25"/>
        <v>68.309905493995359</v>
      </c>
      <c r="T123">
        <f t="shared" si="21"/>
        <v>36355.321306962302</v>
      </c>
      <c r="U123">
        <f t="shared" si="22"/>
        <v>25112.294428747402</v>
      </c>
      <c r="V123">
        <f t="shared" si="23"/>
        <v>25.112294428747401</v>
      </c>
      <c r="X123">
        <f t="shared" si="33"/>
        <v>25.306480726159844</v>
      </c>
      <c r="Y123">
        <v>23.448315892319883</v>
      </c>
      <c r="Z123">
        <f t="shared" si="26"/>
        <v>24.377398309239865</v>
      </c>
      <c r="AA123" s="11">
        <f t="shared" si="17"/>
        <v>36711.046724959473</v>
      </c>
      <c r="AB123" s="11">
        <f t="shared" si="27"/>
        <v>36.711046724959473</v>
      </c>
      <c r="AC123" s="11">
        <f t="shared" si="18"/>
        <v>25306.480726159843</v>
      </c>
      <c r="AD123" s="26">
        <f t="shared" si="38"/>
        <v>3.3770178193519108E-2</v>
      </c>
      <c r="AE123" s="26">
        <f t="shared" si="34"/>
        <v>0.30456626372244516</v>
      </c>
      <c r="AF123" s="26">
        <f t="shared" si="39"/>
        <v>0.25998940342672772</v>
      </c>
    </row>
    <row r="124" spans="1:32" x14ac:dyDescent="0.2">
      <c r="C124" t="s">
        <v>83</v>
      </c>
      <c r="D124">
        <v>25.520700000000001</v>
      </c>
      <c r="E124">
        <v>49.400599999999997</v>
      </c>
      <c r="F124">
        <v>26.398299999999999</v>
      </c>
      <c r="G124">
        <v>25.796399999999998</v>
      </c>
      <c r="H124">
        <f t="shared" si="31"/>
        <v>23.879899999999996</v>
      </c>
      <c r="I124">
        <f t="shared" si="8"/>
        <v>0.87759999999999749</v>
      </c>
      <c r="J124" s="13">
        <f t="shared" si="32"/>
        <v>3.6750572657339338</v>
      </c>
      <c r="K124">
        <f>I124-(G124-D124)</f>
        <v>0.60190000000000055</v>
      </c>
      <c r="L124" s="13">
        <f t="shared" si="36"/>
        <v>68.584776663628332</v>
      </c>
      <c r="M124" s="11"/>
      <c r="N124" s="11"/>
      <c r="O124" s="31"/>
      <c r="P124" s="31">
        <f t="shared" si="37"/>
        <v>0</v>
      </c>
      <c r="Q124" s="11"/>
      <c r="R124" s="11"/>
      <c r="S124" s="11"/>
      <c r="T124">
        <f t="shared" si="21"/>
        <v>36750.57265733934</v>
      </c>
      <c r="U124">
        <f t="shared" si="22"/>
        <v>25205.298179640646</v>
      </c>
      <c r="V124">
        <f t="shared" si="23"/>
        <v>25.205298179640646</v>
      </c>
      <c r="AA124" s="11"/>
      <c r="AB124" s="11"/>
      <c r="AC124" s="11"/>
      <c r="AD124" s="26"/>
      <c r="AE124" s="26">
        <f t="shared" ref="AE124:AE132" si="41">_xlfn.STDEV.S(L124:L126)</f>
        <v>1.5824368871490597</v>
      </c>
      <c r="AF124" s="26">
        <f t="shared" si="39"/>
        <v>0.21185993322405605</v>
      </c>
    </row>
    <row r="125" spans="1:32" x14ac:dyDescent="0.2">
      <c r="C125" t="s">
        <v>31</v>
      </c>
      <c r="D125">
        <v>25.532900000000001</v>
      </c>
      <c r="E125">
        <v>47.851599999999998</v>
      </c>
      <c r="F125">
        <v>26.359300000000001</v>
      </c>
      <c r="G125">
        <v>25.7879</v>
      </c>
      <c r="H125">
        <f t="shared" si="31"/>
        <v>22.318699999999996</v>
      </c>
      <c r="I125">
        <f>(F125-D125)</f>
        <v>0.82639999999999958</v>
      </c>
      <c r="J125" s="13">
        <f>(I125/H125)*100</f>
        <v>3.7027246210576772</v>
      </c>
      <c r="K125">
        <f>I125-(G125-D125)</f>
        <v>0.57140000000000057</v>
      </c>
      <c r="L125" s="13">
        <f t="shared" si="36"/>
        <v>69.143272023233408</v>
      </c>
      <c r="M125" s="11"/>
      <c r="N125" s="11"/>
      <c r="O125" s="31"/>
      <c r="P125" s="31">
        <f t="shared" si="37"/>
        <v>0</v>
      </c>
      <c r="Q125" s="11"/>
      <c r="R125" s="11"/>
      <c r="S125" s="11"/>
      <c r="T125">
        <f t="shared" si="21"/>
        <v>37027.24621057677</v>
      </c>
      <c r="U125">
        <f t="shared" si="22"/>
        <v>25601.849570091475</v>
      </c>
      <c r="V125">
        <f t="shared" si="23"/>
        <v>25.601849570091474</v>
      </c>
      <c r="AA125" s="11"/>
      <c r="AB125" s="11"/>
      <c r="AC125" s="11"/>
      <c r="AD125" s="26"/>
      <c r="AE125" s="26">
        <f t="shared" si="41"/>
        <v>1.2286308927034548</v>
      </c>
      <c r="AF125" s="26">
        <f t="shared" si="39"/>
        <v>0.34770904563503502</v>
      </c>
    </row>
    <row r="126" spans="1:32" x14ac:dyDescent="0.2">
      <c r="A126" s="30">
        <v>44382</v>
      </c>
      <c r="B126">
        <v>96</v>
      </c>
      <c r="C126">
        <v>84</v>
      </c>
      <c r="D126">
        <v>26.2682</v>
      </c>
      <c r="E126">
        <v>45.991799999999998</v>
      </c>
      <c r="F126">
        <v>26.9648</v>
      </c>
      <c r="G126">
        <v>26.4663</v>
      </c>
      <c r="H126">
        <f t="shared" si="31"/>
        <v>19.723599999999998</v>
      </c>
      <c r="I126">
        <f t="shared" si="8"/>
        <v>0.69660000000000011</v>
      </c>
      <c r="J126" s="13">
        <f t="shared" si="32"/>
        <v>3.5318096087935276</v>
      </c>
      <c r="K126">
        <f t="shared" si="35"/>
        <v>0.49849999999999994</v>
      </c>
      <c r="L126" s="13">
        <f t="shared" si="36"/>
        <v>71.561871949468824</v>
      </c>
      <c r="M126" s="11">
        <f t="shared" si="40"/>
        <v>3.6428906373523966</v>
      </c>
      <c r="N126" s="11">
        <v>3.4974873731208667</v>
      </c>
      <c r="O126" s="31">
        <f>AVERAGE(M126,N126)</f>
        <v>3.5701890052366316</v>
      </c>
      <c r="P126" s="31">
        <f t="shared" si="37"/>
        <v>0.18214453186761984</v>
      </c>
      <c r="Q126" s="11">
        <f>AVERAGE(L126:L128)</f>
        <v>71.227590016285959</v>
      </c>
      <c r="R126" s="11">
        <v>69.792450195396086</v>
      </c>
      <c r="S126" s="11">
        <f t="shared" si="25"/>
        <v>70.510020105841022</v>
      </c>
      <c r="T126">
        <f t="shared" si="21"/>
        <v>35318.096087935279</v>
      </c>
      <c r="U126">
        <f t="shared" si="22"/>
        <v>25274.290697438602</v>
      </c>
      <c r="V126">
        <f t="shared" si="23"/>
        <v>25.274290697438602</v>
      </c>
      <c r="X126">
        <f t="shared" si="33"/>
        <v>25.95562837291801</v>
      </c>
      <c r="Y126">
        <v>24.410401953282296</v>
      </c>
      <c r="Z126">
        <f t="shared" si="26"/>
        <v>25.183015163100151</v>
      </c>
      <c r="AA126" s="11">
        <f t="shared" si="17"/>
        <v>36428.906373523969</v>
      </c>
      <c r="AB126" s="11">
        <f t="shared" si="27"/>
        <v>36.428906373523972</v>
      </c>
      <c r="AC126" s="11">
        <f t="shared" si="18"/>
        <v>25955.62837291801</v>
      </c>
      <c r="AD126" s="26">
        <f t="shared" si="38"/>
        <v>0.16914350900122052</v>
      </c>
      <c r="AE126" s="26">
        <f t="shared" si="41"/>
        <v>1.1218806851551009</v>
      </c>
      <c r="AF126" s="26">
        <f t="shared" si="39"/>
        <v>1.509579677592932</v>
      </c>
    </row>
    <row r="127" spans="1:32" x14ac:dyDescent="0.2">
      <c r="C127" t="s">
        <v>36</v>
      </c>
      <c r="D127">
        <v>24.591899999999999</v>
      </c>
      <c r="E127">
        <v>47.3688</v>
      </c>
      <c r="F127">
        <v>25.4026</v>
      </c>
      <c r="G127">
        <v>24.8353</v>
      </c>
      <c r="H127">
        <f t="shared" si="31"/>
        <v>22.776900000000001</v>
      </c>
      <c r="I127">
        <f t="shared" si="8"/>
        <v>0.81070000000000064</v>
      </c>
      <c r="J127" s="13">
        <f t="shared" si="32"/>
        <v>3.5593078952798693</v>
      </c>
      <c r="K127">
        <f t="shared" si="35"/>
        <v>0.56729999999999947</v>
      </c>
      <c r="L127" s="13">
        <f t="shared" si="36"/>
        <v>69.976563463673244</v>
      </c>
      <c r="M127" s="11"/>
      <c r="N127" s="11"/>
      <c r="O127" s="31"/>
      <c r="P127" s="31">
        <f t="shared" si="37"/>
        <v>0</v>
      </c>
      <c r="Q127" s="11"/>
      <c r="R127" s="11"/>
      <c r="S127" s="11"/>
      <c r="T127">
        <f t="shared" si="21"/>
        <v>35593.078952798693</v>
      </c>
      <c r="U127">
        <f t="shared" si="22"/>
        <v>24906.813482080503</v>
      </c>
      <c r="V127">
        <f t="shared" si="23"/>
        <v>24.906813482080501</v>
      </c>
      <c r="AA127" s="11"/>
      <c r="AB127" s="11"/>
      <c r="AC127" s="11"/>
      <c r="AD127" s="26"/>
      <c r="AE127" s="26">
        <f t="shared" si="41"/>
        <v>1.1775073499403736</v>
      </c>
      <c r="AF127" s="26">
        <f t="shared" si="39"/>
        <v>2.7154697534490091</v>
      </c>
    </row>
    <row r="128" spans="1:32" x14ac:dyDescent="0.2">
      <c r="C128" t="s">
        <v>132</v>
      </c>
      <c r="D128">
        <v>22.036000000000001</v>
      </c>
      <c r="E128">
        <v>44.7119</v>
      </c>
      <c r="F128">
        <v>22.906199999999998</v>
      </c>
      <c r="G128">
        <v>22.278400000000001</v>
      </c>
      <c r="H128">
        <f t="shared" si="31"/>
        <v>22.675899999999999</v>
      </c>
      <c r="I128">
        <f t="shared" si="8"/>
        <v>0.87019999999999698</v>
      </c>
      <c r="J128" s="13">
        <f t="shared" si="32"/>
        <v>3.8375544079837933</v>
      </c>
      <c r="K128">
        <f t="shared" si="35"/>
        <v>0.62779999999999703</v>
      </c>
      <c r="L128" s="13">
        <f t="shared" si="36"/>
        <v>72.144334635715836</v>
      </c>
      <c r="M128" s="11"/>
      <c r="N128" s="11"/>
      <c r="O128" s="31"/>
      <c r="P128" s="31">
        <f t="shared" si="37"/>
        <v>0</v>
      </c>
      <c r="Q128" s="11"/>
      <c r="R128" s="11"/>
      <c r="S128" s="11"/>
      <c r="T128">
        <f t="shared" si="21"/>
        <v>38375.544079837935</v>
      </c>
      <c r="U128">
        <f t="shared" si="22"/>
        <v>27685.780939234919</v>
      </c>
      <c r="V128">
        <f t="shared" si="23"/>
        <v>27.68578093923492</v>
      </c>
      <c r="AA128" s="11"/>
      <c r="AB128" s="11"/>
      <c r="AC128" s="11"/>
      <c r="AD128" s="26"/>
      <c r="AE128" s="26">
        <f t="shared" si="41"/>
        <v>1.0328692805990418</v>
      </c>
      <c r="AF128" s="26">
        <f t="shared" si="39"/>
        <v>2.8824693617473356</v>
      </c>
    </row>
    <row r="129" spans="1:32" x14ac:dyDescent="0.2">
      <c r="A129" s="30">
        <v>44384</v>
      </c>
      <c r="B129">
        <v>98</v>
      </c>
      <c r="C129">
        <v>3</v>
      </c>
      <c r="D129">
        <v>44.514899999999997</v>
      </c>
      <c r="E129">
        <v>69.677400000000006</v>
      </c>
      <c r="F129">
        <v>45.311900000000001</v>
      </c>
      <c r="G129">
        <v>44.751899999999999</v>
      </c>
      <c r="H129">
        <f>(E129-D129)</f>
        <v>25.162500000000009</v>
      </c>
      <c r="I129">
        <f>(F129-D129)</f>
        <v>0.79700000000000415</v>
      </c>
      <c r="J129" s="13">
        <f>(I129/H129)*100</f>
        <v>3.1674118231495436</v>
      </c>
      <c r="K129">
        <f t="shared" si="35"/>
        <v>0.56000000000000227</v>
      </c>
      <c r="L129" s="13">
        <f>(K129/I129)*100</f>
        <v>70.263488080301045</v>
      </c>
      <c r="M129" s="11">
        <f>AVERAGE(J129:J131)</f>
        <v>3.5464412515020385</v>
      </c>
      <c r="N129" s="11">
        <v>3.3598318747801077</v>
      </c>
      <c r="O129" s="31">
        <f t="shared" si="24"/>
        <v>3.4531365631410731</v>
      </c>
      <c r="P129" s="31">
        <f t="shared" si="37"/>
        <v>0.17732206257510191</v>
      </c>
      <c r="Q129" s="11">
        <f>AVERAGE(L129:L131)</f>
        <v>70.420540777684707</v>
      </c>
      <c r="R129" s="11">
        <v>67.879823156823861</v>
      </c>
      <c r="S129" s="11">
        <f t="shared" si="25"/>
        <v>69.150181967254284</v>
      </c>
      <c r="T129">
        <f t="shared" si="21"/>
        <v>31674.118231495435</v>
      </c>
      <c r="U129">
        <f t="shared" si="22"/>
        <v>22255.340288127256</v>
      </c>
      <c r="V129">
        <f t="shared" si="23"/>
        <v>22.255340288127258</v>
      </c>
      <c r="X129">
        <f t="shared" si="33"/>
        <v>24.97710124669462</v>
      </c>
      <c r="Y129">
        <v>22.814114472086757</v>
      </c>
      <c r="Z129">
        <f t="shared" si="26"/>
        <v>23.895607859390687</v>
      </c>
      <c r="AA129" s="11">
        <f t="shared" ref="AA129:AA153" si="42">AVERAGE(T129:T131)</f>
        <v>35464.412515020384</v>
      </c>
      <c r="AB129" s="11">
        <f t="shared" si="27"/>
        <v>35.464412515020385</v>
      </c>
      <c r="AC129" s="11">
        <f>AVERAGE(U129:U131)</f>
        <v>24977.101246694623</v>
      </c>
      <c r="AD129" s="26">
        <f t="shared" si="38"/>
        <v>0.3314022810553392</v>
      </c>
      <c r="AE129" s="26">
        <f t="shared" si="41"/>
        <v>0.14042583201056141</v>
      </c>
      <c r="AF129" s="26">
        <f t="shared" si="39"/>
        <v>2.3772133433813512</v>
      </c>
    </row>
    <row r="130" spans="1:32" x14ac:dyDescent="0.2">
      <c r="C130" t="s">
        <v>131</v>
      </c>
      <c r="D130">
        <v>24.5075</v>
      </c>
      <c r="E130">
        <v>47.069600000000001</v>
      </c>
      <c r="F130">
        <v>25.360700000000001</v>
      </c>
      <c r="G130">
        <v>24.759499999999999</v>
      </c>
      <c r="H130">
        <f t="shared" si="31"/>
        <v>22.562100000000001</v>
      </c>
      <c r="I130">
        <f t="shared" si="8"/>
        <v>0.85320000000000107</v>
      </c>
      <c r="J130" s="13">
        <f t="shared" si="32"/>
        <v>3.7815628864334485</v>
      </c>
      <c r="K130">
        <f t="shared" si="35"/>
        <v>0.60120000000000218</v>
      </c>
      <c r="L130" s="13">
        <f t="shared" si="36"/>
        <v>70.464135021097221</v>
      </c>
      <c r="M130" s="11"/>
      <c r="N130" s="11"/>
      <c r="O130" s="31"/>
      <c r="P130" s="31">
        <f t="shared" si="37"/>
        <v>0</v>
      </c>
      <c r="Q130" s="11"/>
      <c r="R130" s="11"/>
      <c r="S130" s="11"/>
      <c r="T130">
        <f t="shared" si="21"/>
        <v>37815.628864334481</v>
      </c>
      <c r="U130">
        <f t="shared" si="22"/>
        <v>26646.455782041659</v>
      </c>
      <c r="V130">
        <f t="shared" si="23"/>
        <v>26.646455782041659</v>
      </c>
      <c r="AA130" s="11"/>
      <c r="AB130" s="11"/>
      <c r="AC130" s="11"/>
      <c r="AD130" s="26"/>
      <c r="AE130" s="26">
        <f t="shared" si="41"/>
        <v>3.4489194229751416</v>
      </c>
      <c r="AF130" s="26">
        <f t="shared" si="39"/>
        <v>5.8343808014423111</v>
      </c>
    </row>
    <row r="131" spans="1:32" x14ac:dyDescent="0.2">
      <c r="C131" t="s">
        <v>133</v>
      </c>
      <c r="D131">
        <v>19.989899999999999</v>
      </c>
      <c r="E131">
        <v>41.150500000000001</v>
      </c>
      <c r="F131">
        <v>20.770800000000001</v>
      </c>
      <c r="G131">
        <v>20.22</v>
      </c>
      <c r="H131">
        <f t="shared" si="31"/>
        <v>21.160600000000002</v>
      </c>
      <c r="I131">
        <f t="shared" si="8"/>
        <v>0.78090000000000259</v>
      </c>
      <c r="J131" s="13">
        <f t="shared" si="32"/>
        <v>3.6903490449231238</v>
      </c>
      <c r="K131">
        <f t="shared" ref="K131:K194" si="43">I131-(G131-D131)</f>
        <v>0.5508000000000024</v>
      </c>
      <c r="L131" s="13">
        <f t="shared" ref="L131:L194" si="44">(K131/I131)*100</f>
        <v>70.533999231655855</v>
      </c>
      <c r="M131" s="11"/>
      <c r="N131" s="11"/>
      <c r="O131" s="31"/>
      <c r="P131" s="31">
        <f t="shared" si="37"/>
        <v>0</v>
      </c>
      <c r="Q131" s="11"/>
      <c r="R131" s="11"/>
      <c r="S131" s="11"/>
      <c r="T131">
        <f t="shared" ref="T131:T194" si="45">((F131-D131)/(H131))*1000000</f>
        <v>36903.490449231242</v>
      </c>
      <c r="U131">
        <f t="shared" ref="U131:U194" si="46">((F131-G131)/(H131))*1000000</f>
        <v>26029.507669914954</v>
      </c>
      <c r="V131">
        <f t="shared" si="23"/>
        <v>26.029507669914953</v>
      </c>
      <c r="AA131" s="11"/>
      <c r="AB131" s="11"/>
      <c r="AC131" s="11"/>
      <c r="AD131" s="26"/>
      <c r="AE131" s="26">
        <f t="shared" si="41"/>
        <v>3.5489352858235583</v>
      </c>
      <c r="AF131" s="26">
        <f t="shared" si="39"/>
        <v>5.2111987196378857</v>
      </c>
    </row>
    <row r="132" spans="1:32" x14ac:dyDescent="0.2">
      <c r="A132" s="30">
        <v>44417</v>
      </c>
      <c r="B132">
        <v>100</v>
      </c>
      <c r="C132" t="s">
        <v>137</v>
      </c>
      <c r="D132">
        <v>41.494999999999997</v>
      </c>
      <c r="E132">
        <v>61.240099999999998</v>
      </c>
      <c r="F132">
        <v>42.435600000000001</v>
      </c>
      <c r="G132">
        <v>41.716299999999997</v>
      </c>
      <c r="H132">
        <f t="shared" si="31"/>
        <v>19.745100000000001</v>
      </c>
      <c r="I132">
        <f t="shared" si="8"/>
        <v>0.94060000000000343</v>
      </c>
      <c r="J132" s="13">
        <f t="shared" si="32"/>
        <v>4.7637135289261812</v>
      </c>
      <c r="K132">
        <f t="shared" si="43"/>
        <v>0.71930000000000405</v>
      </c>
      <c r="L132" s="13">
        <f t="shared" si="44"/>
        <v>76.472464384435625</v>
      </c>
      <c r="M132" s="11">
        <f t="shared" si="40"/>
        <v>4.3588031214154856</v>
      </c>
      <c r="N132" s="11">
        <v>3.8871111254062742</v>
      </c>
      <c r="O132" s="31">
        <f t="shared" ref="O132:O195" si="47">AVERAGE(M132,N132)</f>
        <v>4.1229571234108802</v>
      </c>
      <c r="P132" s="31">
        <f t="shared" si="37"/>
        <v>0.21794015607077427</v>
      </c>
      <c r="Q132" s="11">
        <f>AVERAGE(L132:L134)</f>
        <v>76.435053413811389</v>
      </c>
      <c r="R132" s="11">
        <v>76.762810516829461</v>
      </c>
      <c r="S132" s="11">
        <f t="shared" ref="S132:S195" si="48">AVERAGE(Q132,R132)</f>
        <v>76.598931965320418</v>
      </c>
      <c r="T132">
        <f t="shared" si="45"/>
        <v>47637.135289261816</v>
      </c>
      <c r="U132">
        <f t="shared" si="46"/>
        <v>36429.291317846146</v>
      </c>
      <c r="V132">
        <f t="shared" ref="V132:V212" si="49">((U132*1)/1000)</f>
        <v>36.429291317846143</v>
      </c>
      <c r="X132">
        <f t="shared" si="33"/>
        <v>33.316795629415168</v>
      </c>
      <c r="Y132">
        <v>29.839819409557919</v>
      </c>
      <c r="Z132">
        <f t="shared" ref="Z132:Z195" si="50">AVERAGE(X132,Y132)</f>
        <v>31.578307519486543</v>
      </c>
      <c r="AA132" s="11">
        <f t="shared" si="42"/>
        <v>43588.031214154857</v>
      </c>
      <c r="AB132" s="11">
        <f t="shared" ref="AB132:AB195" si="51">AA132/1000</f>
        <v>43.58803121415486</v>
      </c>
      <c r="AC132" s="11">
        <f>AVERAGE(U132:U134)</f>
        <v>33316.795629415166</v>
      </c>
      <c r="AD132" s="26">
        <f t="shared" si="38"/>
        <v>0.35104694079064241</v>
      </c>
      <c r="AE132" s="26">
        <f t="shared" si="41"/>
        <v>0.45490687238983557</v>
      </c>
      <c r="AF132" s="26">
        <f t="shared" si="39"/>
        <v>2.6962392002506803</v>
      </c>
    </row>
    <row r="133" spans="1:32" x14ac:dyDescent="0.2">
      <c r="C133">
        <v>1</v>
      </c>
      <c r="D133">
        <v>36.204599999999999</v>
      </c>
      <c r="E133">
        <v>59.002099999999999</v>
      </c>
      <c r="F133">
        <v>37.148400000000002</v>
      </c>
      <c r="G133">
        <v>36.422899999999998</v>
      </c>
      <c r="H133">
        <f t="shared" si="31"/>
        <v>22.797499999999999</v>
      </c>
      <c r="I133">
        <f t="shared" si="8"/>
        <v>0.94380000000000308</v>
      </c>
      <c r="J133" s="13">
        <f t="shared" si="32"/>
        <v>4.139927623642957</v>
      </c>
      <c r="K133">
        <f t="shared" si="43"/>
        <v>0.72550000000000381</v>
      </c>
      <c r="L133" s="13">
        <f t="shared" si="44"/>
        <v>76.870099597372473</v>
      </c>
      <c r="M133" s="11"/>
      <c r="N133" s="11"/>
      <c r="O133" s="31"/>
      <c r="P133" s="31">
        <f t="shared" si="37"/>
        <v>0</v>
      </c>
      <c r="Q133" s="11"/>
      <c r="R133" s="11"/>
      <c r="S133" s="11"/>
      <c r="T133">
        <f t="shared" si="45"/>
        <v>41399.27623642957</v>
      </c>
      <c r="U133">
        <f t="shared" si="46"/>
        <v>31823.664875534763</v>
      </c>
      <c r="V133">
        <f t="shared" si="49"/>
        <v>31.823664875534764</v>
      </c>
      <c r="AA133" s="11"/>
      <c r="AB133" s="11"/>
      <c r="AC133" s="11"/>
      <c r="AD133" s="26"/>
      <c r="AE133" s="26">
        <f>_xlfn.STDEV.S(L133:L134)</f>
        <v>0.64170176406990886</v>
      </c>
      <c r="AF133" s="26">
        <f>_xlfn.STDEV.S(U133:U134)/1000</f>
        <v>8.9261045169399672E-2</v>
      </c>
    </row>
    <row r="134" spans="1:32" x14ac:dyDescent="0.2">
      <c r="C134">
        <v>85</v>
      </c>
      <c r="D134">
        <v>52.220300000000002</v>
      </c>
      <c r="E134">
        <v>74.004400000000004</v>
      </c>
      <c r="F134">
        <v>53.129300000000001</v>
      </c>
      <c r="G134">
        <v>52.438800000000001</v>
      </c>
      <c r="H134">
        <f t="shared" si="31"/>
        <v>21.784100000000002</v>
      </c>
      <c r="I134">
        <f t="shared" si="8"/>
        <v>0.90899999999999892</v>
      </c>
      <c r="J134" s="13">
        <f t="shared" si="32"/>
        <v>4.1727682116773188</v>
      </c>
      <c r="K134">
        <f t="shared" si="43"/>
        <v>0.69050000000000011</v>
      </c>
      <c r="L134" s="13">
        <f t="shared" si="44"/>
        <v>75.962596259626068</v>
      </c>
      <c r="M134" s="11"/>
      <c r="N134" s="11"/>
      <c r="O134" s="31"/>
      <c r="P134" s="31">
        <f t="shared" si="37"/>
        <v>0</v>
      </c>
      <c r="Q134" s="11"/>
      <c r="R134" s="11"/>
      <c r="S134" s="11"/>
      <c r="T134">
        <f t="shared" si="45"/>
        <v>41727.682116773191</v>
      </c>
      <c r="U134">
        <f t="shared" si="46"/>
        <v>31697.430694864601</v>
      </c>
      <c r="V134">
        <f t="shared" si="49"/>
        <v>31.6974306948646</v>
      </c>
      <c r="AA134" s="11"/>
      <c r="AB134" s="11"/>
      <c r="AC134" s="11"/>
      <c r="AD134" s="26"/>
      <c r="AE134" s="26" t="e">
        <f>_xlfn.STDEV.S(L134:L134)</f>
        <v>#DIV/0!</v>
      </c>
      <c r="AF134" s="26" t="e">
        <f>_xlfn.STDEV.S(U134:U134)/1000</f>
        <v>#DIV/0!</v>
      </c>
    </row>
    <row r="135" spans="1:32" x14ac:dyDescent="0.2">
      <c r="A135" s="30">
        <v>44419</v>
      </c>
      <c r="B135">
        <v>102</v>
      </c>
      <c r="C135" t="s">
        <v>85</v>
      </c>
      <c r="D135">
        <v>38.835000000000001</v>
      </c>
      <c r="E135">
        <v>60.319699999999997</v>
      </c>
      <c r="F135">
        <v>39.676299999999998</v>
      </c>
      <c r="G135">
        <v>39.038600000000002</v>
      </c>
      <c r="H135">
        <f t="shared" si="31"/>
        <v>21.484699999999997</v>
      </c>
      <c r="I135">
        <f t="shared" si="8"/>
        <v>0.84129999999999683</v>
      </c>
      <c r="J135" s="13">
        <f t="shared" ref="J135:J198" si="52">(I135/H135)*100</f>
        <v>3.9158098553854463</v>
      </c>
      <c r="K135">
        <f t="shared" si="43"/>
        <v>0.63769999999999527</v>
      </c>
      <c r="L135" s="13">
        <f t="shared" si="44"/>
        <v>75.799358136217492</v>
      </c>
      <c r="M135" s="11">
        <f t="shared" ref="M135:M198" si="53">AVERAGE(J135:J137)</f>
        <v>4.0183676717540804</v>
      </c>
      <c r="N135" s="11">
        <v>3.7144935774190837</v>
      </c>
      <c r="O135" s="31">
        <f t="shared" si="47"/>
        <v>3.8664306245865818</v>
      </c>
      <c r="P135" s="31">
        <f t="shared" si="37"/>
        <v>0.20091838358770403</v>
      </c>
      <c r="Q135" s="11">
        <f>AVERAGE(L135:L137)</f>
        <v>74.544837318031014</v>
      </c>
      <c r="R135" s="11">
        <v>73.150489781317873</v>
      </c>
      <c r="S135" s="11">
        <f t="shared" si="48"/>
        <v>73.847663549674451</v>
      </c>
      <c r="T135">
        <f t="shared" si="45"/>
        <v>39158.098553854463</v>
      </c>
      <c r="U135">
        <f t="shared" si="46"/>
        <v>29681.587362169139</v>
      </c>
      <c r="V135">
        <f t="shared" si="49"/>
        <v>29.68158736216914</v>
      </c>
      <c r="X135">
        <f t="shared" si="33"/>
        <v>29.957330371405192</v>
      </c>
      <c r="Y135">
        <v>27.175814298152837</v>
      </c>
      <c r="Z135">
        <f t="shared" si="50"/>
        <v>28.566572334779014</v>
      </c>
      <c r="AA135" s="11">
        <f t="shared" si="42"/>
        <v>40183.676717540802</v>
      </c>
      <c r="AB135" s="11">
        <f t="shared" si="51"/>
        <v>40.183676717540806</v>
      </c>
      <c r="AC135" s="11">
        <f>AVERAGE(U135:U137)</f>
        <v>29957.330371405191</v>
      </c>
      <c r="AD135" s="26">
        <f t="shared" ref="AD135:AD198" si="54">_xlfn.STDEV.S(J135:J137)</f>
        <v>0.15109660957126225</v>
      </c>
      <c r="AE135" s="26">
        <f t="shared" ref="AE135:AE153" si="55">_xlfn.STDEV.S(L135:L137)</f>
        <v>1.5411138541496892</v>
      </c>
      <c r="AF135" s="26">
        <f t="shared" si="39"/>
        <v>1.3693363755154746</v>
      </c>
    </row>
    <row r="136" spans="1:32" x14ac:dyDescent="0.2">
      <c r="C136">
        <v>3</v>
      </c>
      <c r="D136">
        <v>44.513399999999997</v>
      </c>
      <c r="E136">
        <v>66.289699999999996</v>
      </c>
      <c r="F136">
        <v>45.372999999999998</v>
      </c>
      <c r="G136">
        <v>44.747</v>
      </c>
      <c r="H136">
        <f t="shared" si="31"/>
        <v>21.776299999999999</v>
      </c>
      <c r="I136">
        <f t="shared" si="8"/>
        <v>0.85960000000000036</v>
      </c>
      <c r="J136" s="13">
        <f t="shared" si="52"/>
        <v>3.947410717155809</v>
      </c>
      <c r="K136">
        <f t="shared" si="43"/>
        <v>0.62599999999999767</v>
      </c>
      <c r="L136" s="13">
        <f t="shared" si="44"/>
        <v>72.824569567240275</v>
      </c>
      <c r="M136" s="11"/>
      <c r="N136" s="11"/>
      <c r="O136" s="31"/>
      <c r="P136" s="31">
        <f t="shared" ref="P136:P167" si="56">(M136/20)</f>
        <v>0</v>
      </c>
      <c r="Q136" s="11"/>
      <c r="R136" s="11"/>
      <c r="S136" s="11"/>
      <c r="T136">
        <f t="shared" si="45"/>
        <v>39474.107171558091</v>
      </c>
      <c r="U136">
        <f t="shared" si="46"/>
        <v>28746.848638198302</v>
      </c>
      <c r="V136">
        <f t="shared" si="49"/>
        <v>28.746848638198301</v>
      </c>
      <c r="AA136" s="11"/>
      <c r="AB136" s="11"/>
      <c r="AC136" s="11"/>
      <c r="AD136" s="26"/>
      <c r="AE136" s="26">
        <f t="shared" si="55"/>
        <v>1.4517382004801653</v>
      </c>
      <c r="AF136" s="26">
        <f t="shared" si="39"/>
        <v>1.8530103039278603</v>
      </c>
    </row>
    <row r="137" spans="1:32" x14ac:dyDescent="0.2">
      <c r="C137" t="s">
        <v>36</v>
      </c>
      <c r="D137">
        <v>24.599900000000002</v>
      </c>
      <c r="E137">
        <v>47.1387</v>
      </c>
      <c r="F137">
        <v>25.544699999999999</v>
      </c>
      <c r="G137">
        <v>24.835999999999999</v>
      </c>
      <c r="H137">
        <f t="shared" si="31"/>
        <v>22.538799999999998</v>
      </c>
      <c r="I137">
        <f t="shared" si="8"/>
        <v>0.9447999999999972</v>
      </c>
      <c r="J137" s="13">
        <f t="shared" si="52"/>
        <v>4.1918824427209849</v>
      </c>
      <c r="K137">
        <f t="shared" si="43"/>
        <v>0.70870000000000033</v>
      </c>
      <c r="L137" s="13">
        <f t="shared" si="44"/>
        <v>75.010584250635318</v>
      </c>
      <c r="M137" s="11"/>
      <c r="N137" s="11"/>
      <c r="O137" s="31"/>
      <c r="P137" s="31">
        <f t="shared" si="56"/>
        <v>0</v>
      </c>
      <c r="Q137" s="11"/>
      <c r="R137" s="11"/>
      <c r="S137" s="11"/>
      <c r="T137">
        <f t="shared" si="45"/>
        <v>41918.824427209845</v>
      </c>
      <c r="U137">
        <f t="shared" si="46"/>
        <v>31443.555113848139</v>
      </c>
      <c r="V137">
        <f t="shared" si="49"/>
        <v>31.443555113848138</v>
      </c>
      <c r="AA137" s="11"/>
      <c r="AB137" s="11"/>
      <c r="AC137" s="11"/>
      <c r="AD137" s="26"/>
      <c r="AE137" s="26">
        <f t="shared" si="55"/>
        <v>2.5814749220511395</v>
      </c>
      <c r="AF137" s="26">
        <f t="shared" si="39"/>
        <v>3.0352627136324313</v>
      </c>
    </row>
    <row r="138" spans="1:32" x14ac:dyDescent="0.2">
      <c r="A138" s="30">
        <v>44421</v>
      </c>
      <c r="B138">
        <v>104</v>
      </c>
      <c r="C138">
        <v>87</v>
      </c>
      <c r="D138">
        <v>22.886600000000001</v>
      </c>
      <c r="E138">
        <v>46.712800000000001</v>
      </c>
      <c r="F138">
        <v>23.8063</v>
      </c>
      <c r="G138">
        <v>23.1417</v>
      </c>
      <c r="H138">
        <f t="shared" si="31"/>
        <v>23.8262</v>
      </c>
      <c r="I138">
        <f t="shared" si="8"/>
        <v>0.91969999999999885</v>
      </c>
      <c r="J138" s="13">
        <f t="shared" si="52"/>
        <v>3.860036430484084</v>
      </c>
      <c r="K138">
        <f t="shared" si="43"/>
        <v>0.66460000000000008</v>
      </c>
      <c r="L138" s="13">
        <f t="shared" si="44"/>
        <v>72.26269435685559</v>
      </c>
      <c r="M138" s="11">
        <f t="shared" si="53"/>
        <v>3.8090912104961134</v>
      </c>
      <c r="N138" s="11">
        <v>3.5714924389870943</v>
      </c>
      <c r="O138" s="31">
        <f t="shared" si="47"/>
        <v>3.6902918247416041</v>
      </c>
      <c r="P138" s="31">
        <f t="shared" si="56"/>
        <v>0.19045456052480567</v>
      </c>
      <c r="Q138" s="11">
        <f>AVERAGE(L138:L140)</f>
        <v>73.778039031932039</v>
      </c>
      <c r="R138" s="11">
        <v>71.631434707250619</v>
      </c>
      <c r="S138" s="11">
        <f t="shared" si="48"/>
        <v>72.704736869591329</v>
      </c>
      <c r="T138">
        <f t="shared" si="45"/>
        <v>38600.364304840841</v>
      </c>
      <c r="U138">
        <f t="shared" si="46"/>
        <v>27893.663278239925</v>
      </c>
      <c r="V138">
        <f t="shared" si="49"/>
        <v>27.893663278239924</v>
      </c>
      <c r="X138">
        <f t="shared" ref="X138:X201" si="57">(AVERAGE(V138:V140))</f>
        <v>28.144698526047815</v>
      </c>
      <c r="Y138">
        <v>25.585165307659295</v>
      </c>
      <c r="Z138">
        <f t="shared" si="50"/>
        <v>26.864931916853557</v>
      </c>
      <c r="AA138" s="11">
        <f t="shared" si="42"/>
        <v>38090.912104961135</v>
      </c>
      <c r="AB138" s="11">
        <f t="shared" si="51"/>
        <v>38.090912104961134</v>
      </c>
      <c r="AC138" s="11">
        <f>AVERAGE(U138:U140)</f>
        <v>28144.69852604781</v>
      </c>
      <c r="AD138" s="26">
        <f t="shared" si="54"/>
        <v>0.15324262969578079</v>
      </c>
      <c r="AE138" s="26">
        <f t="shared" si="55"/>
        <v>4.8647712449638236</v>
      </c>
      <c r="AF138" s="26">
        <f t="shared" si="39"/>
        <v>2.8744807462457294</v>
      </c>
    </row>
    <row r="139" spans="1:32" x14ac:dyDescent="0.2">
      <c r="C139" t="s">
        <v>131</v>
      </c>
      <c r="D139">
        <v>24.509899999999998</v>
      </c>
      <c r="E139">
        <v>44.109200000000001</v>
      </c>
      <c r="F139">
        <v>25.2227</v>
      </c>
      <c r="G139">
        <v>24.724799999999998</v>
      </c>
      <c r="H139">
        <f t="shared" si="31"/>
        <v>19.599300000000003</v>
      </c>
      <c r="I139">
        <f t="shared" si="8"/>
        <v>0.71280000000000143</v>
      </c>
      <c r="J139" s="13">
        <f t="shared" si="52"/>
        <v>3.6368645818983398</v>
      </c>
      <c r="K139">
        <f t="shared" si="43"/>
        <v>0.49790000000000134</v>
      </c>
      <c r="L139" s="13">
        <f t="shared" si="44"/>
        <v>69.851290684624061</v>
      </c>
      <c r="M139" s="11"/>
      <c r="N139" s="11"/>
      <c r="O139" s="31"/>
      <c r="P139" s="31">
        <f t="shared" si="56"/>
        <v>0</v>
      </c>
      <c r="Q139" s="11"/>
      <c r="R139" s="11"/>
      <c r="S139" s="11"/>
      <c r="T139">
        <f t="shared" si="45"/>
        <v>36368.645818983401</v>
      </c>
      <c r="U139">
        <f t="shared" si="46"/>
        <v>25403.968509079474</v>
      </c>
      <c r="V139">
        <f t="shared" si="49"/>
        <v>25.403968509079473</v>
      </c>
      <c r="AA139" s="11"/>
      <c r="AB139" s="11"/>
      <c r="AC139" s="11"/>
      <c r="AD139" s="26"/>
      <c r="AE139" s="26">
        <f t="shared" si="55"/>
        <v>4.8136208619299001</v>
      </c>
      <c r="AF139" s="26">
        <f t="shared" si="39"/>
        <v>2.8680460305956568</v>
      </c>
    </row>
    <row r="140" spans="1:32" x14ac:dyDescent="0.2">
      <c r="C140">
        <v>2</v>
      </c>
      <c r="D140">
        <v>36.334699999999998</v>
      </c>
      <c r="E140">
        <v>56.7577</v>
      </c>
      <c r="F140">
        <v>37.1374</v>
      </c>
      <c r="G140">
        <v>36.5015</v>
      </c>
      <c r="H140">
        <f t="shared" si="31"/>
        <v>20.423000000000002</v>
      </c>
      <c r="I140">
        <f t="shared" si="8"/>
        <v>0.80270000000000152</v>
      </c>
      <c r="J140" s="13">
        <f t="shared" si="52"/>
        <v>3.9303726191059174</v>
      </c>
      <c r="K140">
        <f t="shared" si="43"/>
        <v>0.63589999999999947</v>
      </c>
      <c r="L140" s="13">
        <f t="shared" si="44"/>
        <v>79.220132054316466</v>
      </c>
      <c r="M140" s="11"/>
      <c r="N140" s="11"/>
      <c r="O140" s="31"/>
      <c r="P140" s="31">
        <f t="shared" si="56"/>
        <v>0</v>
      </c>
      <c r="Q140" s="11"/>
      <c r="R140" s="11"/>
      <c r="S140" s="11"/>
      <c r="T140">
        <f t="shared" si="45"/>
        <v>39303.72619105917</v>
      </c>
      <c r="U140">
        <f t="shared" si="46"/>
        <v>31136.46379082404</v>
      </c>
      <c r="V140">
        <f t="shared" si="49"/>
        <v>31.136463790824042</v>
      </c>
      <c r="AA140" s="11"/>
      <c r="AB140" s="11"/>
      <c r="AC140" s="11"/>
      <c r="AD140" s="26"/>
      <c r="AE140" s="26">
        <f t="shared" si="55"/>
        <v>3.9809122071383589</v>
      </c>
      <c r="AF140" s="26">
        <f t="shared" si="39"/>
        <v>1.8502180726435338</v>
      </c>
    </row>
    <row r="141" spans="1:32" x14ac:dyDescent="0.2">
      <c r="A141" s="30">
        <v>44424</v>
      </c>
      <c r="B141">
        <v>107</v>
      </c>
      <c r="C141">
        <v>1</v>
      </c>
      <c r="D141">
        <v>36.200000000000003</v>
      </c>
      <c r="E141">
        <v>61.771000000000001</v>
      </c>
      <c r="F141">
        <v>37.189300000000003</v>
      </c>
      <c r="G141">
        <v>36.4709</v>
      </c>
      <c r="H141">
        <f t="shared" si="31"/>
        <v>25.570999999999998</v>
      </c>
      <c r="I141">
        <f t="shared" si="8"/>
        <v>0.98930000000000007</v>
      </c>
      <c r="J141" s="13">
        <f t="shared" si="52"/>
        <v>3.8688357905439763</v>
      </c>
      <c r="K141">
        <f t="shared" si="43"/>
        <v>0.71840000000000259</v>
      </c>
      <c r="L141" s="13">
        <f t="shared" si="44"/>
        <v>72.617001920550138</v>
      </c>
      <c r="M141" s="11">
        <f t="shared" si="53"/>
        <v>3.9236275593074672</v>
      </c>
      <c r="N141" s="11">
        <v>3.6901419862981402</v>
      </c>
      <c r="O141" s="31">
        <f t="shared" si="47"/>
        <v>3.8068847728028037</v>
      </c>
      <c r="P141" s="31">
        <f t="shared" si="56"/>
        <v>0.19618137796537335</v>
      </c>
      <c r="Q141" s="11">
        <f>AVERAGE(L141:L143)</f>
        <v>72.573131798632389</v>
      </c>
      <c r="R141" s="11">
        <v>72.73468408989163</v>
      </c>
      <c r="S141" s="11">
        <f t="shared" si="48"/>
        <v>72.653907944262016</v>
      </c>
      <c r="T141">
        <f t="shared" si="45"/>
        <v>38688.357905439763</v>
      </c>
      <c r="U141">
        <f t="shared" si="46"/>
        <v>28094.325603222504</v>
      </c>
      <c r="V141">
        <f t="shared" si="49"/>
        <v>28.094325603222504</v>
      </c>
      <c r="X141">
        <f t="shared" si="57"/>
        <v>28.477937444483683</v>
      </c>
      <c r="Y141">
        <v>26.847980927545301</v>
      </c>
      <c r="Z141">
        <f t="shared" si="50"/>
        <v>27.66295918601449</v>
      </c>
      <c r="AA141" s="11">
        <f>AVERAGE(T141:T143)</f>
        <v>39236.275593074672</v>
      </c>
      <c r="AB141" s="11">
        <f t="shared" si="51"/>
        <v>39.236275593074673</v>
      </c>
      <c r="AC141" s="11">
        <f>AVERAGE(U141:U143)</f>
        <v>28477.937444483683</v>
      </c>
      <c r="AD141" s="26">
        <f t="shared" si="54"/>
        <v>0.10594112974822684</v>
      </c>
      <c r="AE141" s="26">
        <f t="shared" si="55"/>
        <v>0.48664544881355282</v>
      </c>
      <c r="AF141" s="26">
        <f t="shared" si="39"/>
        <v>0.93958710468805096</v>
      </c>
    </row>
    <row r="142" spans="1:32" x14ac:dyDescent="0.2">
      <c r="C142" t="s">
        <v>128</v>
      </c>
      <c r="D142">
        <v>18.854199999999999</v>
      </c>
      <c r="E142">
        <v>40.5304</v>
      </c>
      <c r="F142">
        <v>19.690100000000001</v>
      </c>
      <c r="G142">
        <v>19.087700000000002</v>
      </c>
      <c r="H142">
        <f t="shared" si="31"/>
        <v>21.676200000000001</v>
      </c>
      <c r="I142">
        <f t="shared" si="8"/>
        <v>0.83590000000000231</v>
      </c>
      <c r="J142" s="13">
        <f t="shared" si="52"/>
        <v>3.8563032265803145</v>
      </c>
      <c r="K142">
        <f t="shared" si="43"/>
        <v>0.60239999999999938</v>
      </c>
      <c r="L142" s="13">
        <f t="shared" si="44"/>
        <v>72.066036607249401</v>
      </c>
      <c r="M142" s="11"/>
      <c r="N142" s="11"/>
      <c r="O142" s="31"/>
      <c r="P142" s="31">
        <f t="shared" si="56"/>
        <v>0</v>
      </c>
      <c r="Q142" s="11"/>
      <c r="R142" s="11"/>
      <c r="S142" s="11"/>
      <c r="T142">
        <f t="shared" si="45"/>
        <v>38563.032265803151</v>
      </c>
      <c r="U142">
        <f t="shared" si="46"/>
        <v>27790.848949539097</v>
      </c>
      <c r="V142">
        <f t="shared" si="49"/>
        <v>27.790848949539097</v>
      </c>
      <c r="AA142" s="11"/>
      <c r="AB142" s="11"/>
      <c r="AC142" s="11"/>
      <c r="AD142" s="26"/>
      <c r="AE142" s="26">
        <f t="shared" si="55"/>
        <v>0.8172614315680472</v>
      </c>
      <c r="AF142" s="26">
        <f t="shared" si="39"/>
        <v>1.2189697008339722</v>
      </c>
    </row>
    <row r="143" spans="1:32" x14ac:dyDescent="0.2">
      <c r="C143" t="s">
        <v>43</v>
      </c>
      <c r="D143">
        <v>25.520099999999999</v>
      </c>
      <c r="E143">
        <v>45.439799999999998</v>
      </c>
      <c r="F143">
        <v>26.326000000000001</v>
      </c>
      <c r="G143">
        <v>25.737400000000001</v>
      </c>
      <c r="H143">
        <f t="shared" si="31"/>
        <v>19.919699999999999</v>
      </c>
      <c r="I143">
        <f t="shared" si="8"/>
        <v>0.80590000000000117</v>
      </c>
      <c r="J143" s="13">
        <f t="shared" si="52"/>
        <v>4.0457436607981103</v>
      </c>
      <c r="K143">
        <f t="shared" si="43"/>
        <v>0.58859999999999957</v>
      </c>
      <c r="L143" s="13">
        <f t="shared" si="44"/>
        <v>73.036356868097613</v>
      </c>
      <c r="M143" s="11"/>
      <c r="N143" s="11"/>
      <c r="O143" s="31"/>
      <c r="P143" s="31">
        <f t="shared" si="56"/>
        <v>0</v>
      </c>
      <c r="Q143" s="11"/>
      <c r="R143" s="11"/>
      <c r="S143" s="11"/>
      <c r="T143">
        <f t="shared" si="45"/>
        <v>40457.436607981101</v>
      </c>
      <c r="U143">
        <f t="shared" si="46"/>
        <v>29548.637780689449</v>
      </c>
      <c r="V143">
        <f t="shared" si="49"/>
        <v>29.54863778068945</v>
      </c>
      <c r="AA143" s="11"/>
      <c r="AB143" s="11"/>
      <c r="AC143" s="11"/>
      <c r="AD143" s="26"/>
      <c r="AE143" s="26">
        <f t="shared" si="55"/>
        <v>19.555389950316101</v>
      </c>
      <c r="AF143" s="26">
        <f t="shared" si="39"/>
        <v>1.3420858988818469</v>
      </c>
    </row>
    <row r="144" spans="1:32" x14ac:dyDescent="0.2">
      <c r="A144" s="30">
        <v>44426</v>
      </c>
      <c r="B144">
        <v>109</v>
      </c>
      <c r="C144" t="s">
        <v>137</v>
      </c>
      <c r="D144">
        <v>41.499400000000001</v>
      </c>
      <c r="E144">
        <v>62.490499999999997</v>
      </c>
      <c r="F144">
        <v>42.2744</v>
      </c>
      <c r="G144">
        <v>41.703299999999999</v>
      </c>
      <c r="H144">
        <f t="shared" si="31"/>
        <v>20.991099999999996</v>
      </c>
      <c r="I144">
        <f t="shared" si="8"/>
        <v>0.77499999999999858</v>
      </c>
      <c r="J144" s="13">
        <f t="shared" si="52"/>
        <v>3.6920409125772289</v>
      </c>
      <c r="K144">
        <f t="shared" si="43"/>
        <v>0.57110000000000127</v>
      </c>
      <c r="L144" s="13">
        <f t="shared" si="44"/>
        <v>73.690322580645457</v>
      </c>
      <c r="M144" s="11">
        <f t="shared" si="53"/>
        <v>3.3757830070973136</v>
      </c>
      <c r="N144" s="11">
        <v>3.3461370092167511</v>
      </c>
      <c r="O144" s="31">
        <f t="shared" si="47"/>
        <v>3.3609600081570323</v>
      </c>
      <c r="P144" s="31">
        <f t="shared" si="56"/>
        <v>0.16878915035486569</v>
      </c>
      <c r="Q144" s="11">
        <f>AVERAGE(L144:L146)</f>
        <v>85.608234386964526</v>
      </c>
      <c r="R144" s="11">
        <v>74.66865982094177</v>
      </c>
      <c r="S144" s="11">
        <f t="shared" si="48"/>
        <v>80.138447103953155</v>
      </c>
      <c r="T144">
        <f t="shared" si="45"/>
        <v>36920.40912577229</v>
      </c>
      <c r="U144">
        <f t="shared" si="46"/>
        <v>27206.768582875666</v>
      </c>
      <c r="V144">
        <f t="shared" si="49"/>
        <v>27.206768582875664</v>
      </c>
      <c r="X144">
        <f t="shared" si="57"/>
        <v>28.003982442293292</v>
      </c>
      <c r="Y144">
        <v>24.990725177337442</v>
      </c>
      <c r="Z144">
        <f t="shared" si="50"/>
        <v>26.497353809815365</v>
      </c>
      <c r="AA144" s="11">
        <f t="shared" si="42"/>
        <v>33757.830070973134</v>
      </c>
      <c r="AB144" s="11">
        <f t="shared" si="51"/>
        <v>33.757830070973135</v>
      </c>
      <c r="AC144" s="11">
        <f>AVERAGE(U144:U146)</f>
        <v>28003.982442293298</v>
      </c>
      <c r="AD144" s="26">
        <f t="shared" si="54"/>
        <v>0.73043620980355584</v>
      </c>
      <c r="AE144" s="26">
        <f t="shared" si="55"/>
        <v>18.757304136494689</v>
      </c>
      <c r="AF144" s="26">
        <f t="shared" si="39"/>
        <v>1.3506070942944151</v>
      </c>
    </row>
    <row r="145" spans="1:32" x14ac:dyDescent="0.2">
      <c r="C145">
        <v>2</v>
      </c>
      <c r="D145">
        <v>36.5623</v>
      </c>
      <c r="E145">
        <v>59.5931</v>
      </c>
      <c r="F145">
        <v>37.147399999999998</v>
      </c>
      <c r="G145">
        <v>36.520000000000003</v>
      </c>
      <c r="H145">
        <f t="shared" si="31"/>
        <v>23.030799999999999</v>
      </c>
      <c r="I145">
        <f t="shared" ref="I145:I209" si="58">(F145-D145)</f>
        <v>0.58509999999999707</v>
      </c>
      <c r="J145" s="13">
        <f t="shared" si="52"/>
        <v>2.5405109679212061</v>
      </c>
      <c r="K145">
        <f t="shared" si="43"/>
        <v>0.62739999999999441</v>
      </c>
      <c r="L145" s="13">
        <f t="shared" si="44"/>
        <v>107.22953341309136</v>
      </c>
      <c r="M145" s="11"/>
      <c r="N145" s="11"/>
      <c r="O145" s="31"/>
      <c r="P145" s="31">
        <f t="shared" si="56"/>
        <v>0</v>
      </c>
      <c r="Q145" s="11"/>
      <c r="R145" s="11"/>
      <c r="S145" s="11"/>
      <c r="T145">
        <f t="shared" si="45"/>
        <v>25405.109679212059</v>
      </c>
      <c r="U145">
        <f t="shared" si="46"/>
        <v>27241.780572103202</v>
      </c>
      <c r="V145">
        <f t="shared" si="49"/>
        <v>27.241780572103202</v>
      </c>
      <c r="AA145" s="11"/>
      <c r="AB145" s="11"/>
      <c r="AC145" s="11"/>
      <c r="AD145" s="26"/>
      <c r="AE145" s="26">
        <f t="shared" si="55"/>
        <v>17.583463887686079</v>
      </c>
      <c r="AF145" s="26">
        <f t="shared" si="39"/>
        <v>2.3779800800086512</v>
      </c>
    </row>
    <row r="146" spans="1:32" x14ac:dyDescent="0.2">
      <c r="C146" t="s">
        <v>128</v>
      </c>
      <c r="D146">
        <v>18.869399999999999</v>
      </c>
      <c r="E146">
        <v>38.944899999999997</v>
      </c>
      <c r="F146">
        <v>19.651299999999999</v>
      </c>
      <c r="G146">
        <v>19.0578</v>
      </c>
      <c r="H146">
        <f t="shared" si="31"/>
        <v>20.075499999999998</v>
      </c>
      <c r="I146">
        <f t="shared" si="58"/>
        <v>0.78190000000000026</v>
      </c>
      <c r="J146" s="13">
        <f t="shared" si="52"/>
        <v>3.8947971407935058</v>
      </c>
      <c r="K146">
        <f t="shared" si="43"/>
        <v>0.59349999999999881</v>
      </c>
      <c r="L146" s="13">
        <f t="shared" si="44"/>
        <v>75.90484716715676</v>
      </c>
      <c r="M146" s="11"/>
      <c r="N146" s="11"/>
      <c r="O146" s="31"/>
      <c r="P146" s="31">
        <f t="shared" si="56"/>
        <v>0</v>
      </c>
      <c r="Q146" s="11"/>
      <c r="R146" s="11"/>
      <c r="S146" s="11"/>
      <c r="T146">
        <f t="shared" si="45"/>
        <v>38947.97140793506</v>
      </c>
      <c r="U146">
        <f t="shared" si="46"/>
        <v>29563.398171901015</v>
      </c>
      <c r="V146">
        <f t="shared" si="49"/>
        <v>29.563398171901014</v>
      </c>
      <c r="AA146" s="11"/>
      <c r="AB146" s="11"/>
      <c r="AC146" s="11"/>
      <c r="AD146" s="26"/>
      <c r="AE146" s="26">
        <f t="shared" si="55"/>
        <v>1.4803747451823885</v>
      </c>
      <c r="AF146" s="26">
        <f t="shared" si="39"/>
        <v>1.530236659187012</v>
      </c>
    </row>
    <row r="147" spans="1:32" x14ac:dyDescent="0.2">
      <c r="A147" s="30">
        <v>44428</v>
      </c>
      <c r="B147">
        <v>111</v>
      </c>
      <c r="C147">
        <v>9</v>
      </c>
      <c r="D147">
        <v>20.014600000000002</v>
      </c>
      <c r="E147">
        <v>40.450699999999998</v>
      </c>
      <c r="F147">
        <v>20.855899999999998</v>
      </c>
      <c r="G147">
        <v>20.202000000000002</v>
      </c>
      <c r="H147">
        <f t="shared" si="31"/>
        <v>20.436099999999996</v>
      </c>
      <c r="I147">
        <f t="shared" si="58"/>
        <v>0.84129999999999683</v>
      </c>
      <c r="J147" s="13">
        <f t="shared" si="52"/>
        <v>4.1167346020033033</v>
      </c>
      <c r="K147">
        <f t="shared" si="43"/>
        <v>0.6538999999999966</v>
      </c>
      <c r="L147" s="13">
        <f t="shared" si="44"/>
        <v>77.724949482942947</v>
      </c>
      <c r="M147" s="11">
        <f t="shared" si="53"/>
        <v>4.1514198653443612</v>
      </c>
      <c r="N147" s="11">
        <v>3.6704946237850629</v>
      </c>
      <c r="O147" s="31">
        <f t="shared" si="47"/>
        <v>3.9109572445647123</v>
      </c>
      <c r="P147" s="31">
        <f t="shared" si="56"/>
        <v>0.20757099326721806</v>
      </c>
      <c r="Q147" s="11">
        <f>AVERAGE(L147:L149)</f>
        <v>77.71149446584765</v>
      </c>
      <c r="R147" s="11">
        <v>80.479441030034991</v>
      </c>
      <c r="S147" s="11">
        <f t="shared" si="48"/>
        <v>79.095467747941314</v>
      </c>
      <c r="T147">
        <f t="shared" si="45"/>
        <v>41167.34602003303</v>
      </c>
      <c r="U147">
        <f t="shared" si="46"/>
        <v>31997.298897538996</v>
      </c>
      <c r="V147">
        <f t="shared" si="49"/>
        <v>31.997298897538997</v>
      </c>
      <c r="X147">
        <f t="shared" si="57"/>
        <v>32.256701474257824</v>
      </c>
      <c r="Y147">
        <v>29.431620941012557</v>
      </c>
      <c r="Z147">
        <f t="shared" si="50"/>
        <v>30.844161207635189</v>
      </c>
      <c r="AA147" s="11">
        <f t="shared" si="42"/>
        <v>41514.198653443607</v>
      </c>
      <c r="AB147" s="11">
        <f t="shared" si="51"/>
        <v>41.514198653443607</v>
      </c>
      <c r="AC147" s="11">
        <f>AVERAGE(U147:U149)</f>
        <v>32256.701474257829</v>
      </c>
      <c r="AD147" s="26">
        <f t="shared" si="54"/>
        <v>6.7684972582054678E-2</v>
      </c>
      <c r="AE147" s="26">
        <f t="shared" si="55"/>
        <v>1.1325535029466316</v>
      </c>
      <c r="AF147" s="26">
        <f t="shared" si="39"/>
        <v>0.22465063201320071</v>
      </c>
    </row>
    <row r="148" spans="1:32" x14ac:dyDescent="0.2">
      <c r="C148">
        <v>87</v>
      </c>
      <c r="D148">
        <v>22.919599999999999</v>
      </c>
      <c r="E148">
        <v>45.027099999999997</v>
      </c>
      <c r="F148">
        <v>23.8278</v>
      </c>
      <c r="G148">
        <v>23.111799999999999</v>
      </c>
      <c r="H148">
        <f t="shared" si="31"/>
        <v>22.107499999999998</v>
      </c>
      <c r="I148">
        <f t="shared" si="58"/>
        <v>0.90820000000000078</v>
      </c>
      <c r="J148" s="13">
        <f t="shared" si="52"/>
        <v>4.1081081081081123</v>
      </c>
      <c r="K148">
        <f t="shared" si="43"/>
        <v>0.71600000000000108</v>
      </c>
      <c r="L148" s="13">
        <f t="shared" si="44"/>
        <v>78.837260515305047</v>
      </c>
      <c r="M148" s="11"/>
      <c r="N148" s="11"/>
      <c r="O148" s="31"/>
      <c r="P148" s="31">
        <f t="shared" si="56"/>
        <v>0</v>
      </c>
      <c r="Q148" s="11"/>
      <c r="R148" s="11"/>
      <c r="S148" s="11"/>
      <c r="T148">
        <f t="shared" si="45"/>
        <v>41081.081081081116</v>
      </c>
      <c r="U148">
        <f t="shared" si="46"/>
        <v>32387.19891439562</v>
      </c>
      <c r="V148">
        <f t="shared" si="49"/>
        <v>32.387198914395618</v>
      </c>
      <c r="AA148" s="11"/>
      <c r="AB148" s="11"/>
      <c r="AC148" s="11"/>
      <c r="AD148" s="26"/>
      <c r="AE148" s="26">
        <f t="shared" si="55"/>
        <v>1.8044996596403975</v>
      </c>
      <c r="AF148" s="26">
        <f t="shared" si="39"/>
        <v>2.1793484690071803</v>
      </c>
    </row>
    <row r="149" spans="1:32" x14ac:dyDescent="0.2">
      <c r="C149">
        <v>84</v>
      </c>
      <c r="D149">
        <v>26.270099999999999</v>
      </c>
      <c r="E149">
        <v>47.060200000000002</v>
      </c>
      <c r="F149">
        <v>27.1494</v>
      </c>
      <c r="G149">
        <v>26.476099999999999</v>
      </c>
      <c r="H149">
        <f t="shared" si="31"/>
        <v>20.790100000000002</v>
      </c>
      <c r="I149">
        <f t="shared" si="58"/>
        <v>0.87930000000000064</v>
      </c>
      <c r="J149" s="13">
        <f t="shared" si="52"/>
        <v>4.2294168859216672</v>
      </c>
      <c r="K149">
        <f t="shared" si="43"/>
        <v>0.67330000000000112</v>
      </c>
      <c r="L149" s="13">
        <f t="shared" si="44"/>
        <v>76.572273399294971</v>
      </c>
      <c r="M149" s="11"/>
      <c r="N149" s="11"/>
      <c r="O149" s="31"/>
      <c r="P149" s="31">
        <f t="shared" si="56"/>
        <v>0</v>
      </c>
      <c r="Q149" s="11"/>
      <c r="R149" s="11"/>
      <c r="S149" s="11"/>
      <c r="T149">
        <f t="shared" si="45"/>
        <v>42294.168859216668</v>
      </c>
      <c r="U149">
        <f t="shared" si="46"/>
        <v>32385.606610838862</v>
      </c>
      <c r="V149">
        <f t="shared" si="49"/>
        <v>32.385606610838863</v>
      </c>
      <c r="AA149" s="11"/>
      <c r="AB149" s="11"/>
      <c r="AC149" s="11"/>
      <c r="AD149" s="26"/>
      <c r="AE149" s="26">
        <f t="shared" si="55"/>
        <v>0.78882105421670978</v>
      </c>
      <c r="AF149" s="26">
        <f t="shared" si="39"/>
        <v>2.028325275619054</v>
      </c>
    </row>
    <row r="150" spans="1:32" x14ac:dyDescent="0.2">
      <c r="A150" s="30">
        <v>44431</v>
      </c>
      <c r="B150">
        <v>115</v>
      </c>
      <c r="C150" t="s">
        <v>36</v>
      </c>
      <c r="D150">
        <v>24.589700000000001</v>
      </c>
      <c r="E150">
        <v>49.303400000000003</v>
      </c>
      <c r="F150">
        <v>25.5291</v>
      </c>
      <c r="G150">
        <v>24.821999999999999</v>
      </c>
      <c r="H150">
        <f t="shared" si="31"/>
        <v>24.713700000000003</v>
      </c>
      <c r="I150">
        <f t="shared" si="58"/>
        <v>0.93939999999999912</v>
      </c>
      <c r="J150" s="13">
        <f t="shared" si="52"/>
        <v>3.8011305470245205</v>
      </c>
      <c r="K150">
        <f t="shared" si="43"/>
        <v>0.70710000000000051</v>
      </c>
      <c r="L150" s="13">
        <f t="shared" si="44"/>
        <v>75.271449861613917</v>
      </c>
      <c r="M150" s="11">
        <f t="shared" si="53"/>
        <v>3.8659479348816177</v>
      </c>
      <c r="N150" s="11">
        <v>3.8654495452086479</v>
      </c>
      <c r="O150" s="31">
        <f t="shared" si="47"/>
        <v>3.8656987400451328</v>
      </c>
      <c r="P150" s="31">
        <f t="shared" si="56"/>
        <v>0.19329739674408089</v>
      </c>
      <c r="Q150" s="11">
        <f>AVERAGE(L150:L152)</f>
        <v>75.409270568571642</v>
      </c>
      <c r="R150" s="11">
        <v>76.113098659986406</v>
      </c>
      <c r="S150" s="11">
        <f t="shared" si="48"/>
        <v>75.761184614279017</v>
      </c>
      <c r="T150">
        <f t="shared" si="45"/>
        <v>38011.305470245206</v>
      </c>
      <c r="U150">
        <f t="shared" si="46"/>
        <v>28611.660738780531</v>
      </c>
      <c r="V150">
        <f t="shared" si="49"/>
        <v>28.611660738780532</v>
      </c>
      <c r="X150">
        <f t="shared" si="57"/>
        <v>29.153528108657156</v>
      </c>
      <c r="Y150">
        <v>29.422932236848411</v>
      </c>
      <c r="Z150">
        <f t="shared" si="50"/>
        <v>29.288230172752783</v>
      </c>
      <c r="AA150" s="11">
        <f t="shared" si="42"/>
        <v>38659.479348816174</v>
      </c>
      <c r="AB150" s="11">
        <f t="shared" si="51"/>
        <v>38.659479348816177</v>
      </c>
      <c r="AC150" s="11">
        <f>AVERAGE(U150:U152)</f>
        <v>29153.528108657159</v>
      </c>
      <c r="AD150" s="26">
        <f>_xlfn.STDEV.S(J150:J152)</f>
        <v>5.7277095033819003E-2</v>
      </c>
      <c r="AE150" s="26">
        <f t="shared" si="55"/>
        <v>0.35033045603951701</v>
      </c>
      <c r="AF150" s="26">
        <f t="shared" si="39"/>
        <v>0.5159114352362425</v>
      </c>
    </row>
    <row r="151" spans="1:32" x14ac:dyDescent="0.2">
      <c r="C151">
        <v>25</v>
      </c>
      <c r="D151">
        <v>25.6889</v>
      </c>
      <c r="E151">
        <v>48.164000000000001</v>
      </c>
      <c r="F151">
        <v>26.5625</v>
      </c>
      <c r="G151">
        <v>25.905999999999999</v>
      </c>
      <c r="H151">
        <f t="shared" si="31"/>
        <v>22.475100000000001</v>
      </c>
      <c r="I151">
        <f t="shared" si="58"/>
        <v>0.87359999999999971</v>
      </c>
      <c r="J151" s="13">
        <f t="shared" si="52"/>
        <v>3.8869682448576408</v>
      </c>
      <c r="K151">
        <f t="shared" si="43"/>
        <v>0.65650000000000119</v>
      </c>
      <c r="L151" s="13">
        <f t="shared" si="44"/>
        <v>75.148809523809689</v>
      </c>
      <c r="M151" s="11"/>
      <c r="N151" s="11"/>
      <c r="O151" s="31"/>
      <c r="P151" s="31">
        <f t="shared" si="56"/>
        <v>0</v>
      </c>
      <c r="Q151" s="11"/>
      <c r="R151" s="11"/>
      <c r="S151" s="11"/>
      <c r="T151">
        <f t="shared" si="45"/>
        <v>38869.682448576408</v>
      </c>
      <c r="U151">
        <f t="shared" si="46"/>
        <v>29210.103625790372</v>
      </c>
      <c r="V151">
        <f t="shared" si="49"/>
        <v>29.210103625790371</v>
      </c>
      <c r="AA151" s="11"/>
      <c r="AB151" s="11"/>
      <c r="AC151" s="11"/>
      <c r="AD151" s="26"/>
      <c r="AE151" s="26">
        <f t="shared" si="55"/>
        <v>0.94596761404041785</v>
      </c>
      <c r="AF151" s="26">
        <f t="shared" si="39"/>
        <v>1.3397520596982193</v>
      </c>
    </row>
    <row r="152" spans="1:32" x14ac:dyDescent="0.2">
      <c r="C152" t="s">
        <v>40</v>
      </c>
      <c r="D152">
        <v>23.895600000000002</v>
      </c>
      <c r="E152">
        <v>46.383000000000003</v>
      </c>
      <c r="F152">
        <v>24.774799999999999</v>
      </c>
      <c r="G152">
        <v>24.1083</v>
      </c>
      <c r="H152">
        <f>(E152-D152)</f>
        <v>22.487400000000001</v>
      </c>
      <c r="I152">
        <f t="shared" si="58"/>
        <v>0.87919999999999732</v>
      </c>
      <c r="J152" s="13">
        <f t="shared" si="52"/>
        <v>3.9097450127626909</v>
      </c>
      <c r="K152">
        <f t="shared" si="43"/>
        <v>0.6664999999999992</v>
      </c>
      <c r="L152" s="13">
        <f t="shared" si="44"/>
        <v>75.807552320291322</v>
      </c>
      <c r="M152" s="11"/>
      <c r="N152" s="11"/>
      <c r="O152" s="31"/>
      <c r="P152" s="31">
        <f t="shared" si="56"/>
        <v>0</v>
      </c>
      <c r="Q152" s="11"/>
      <c r="R152" s="11"/>
      <c r="S152" s="11"/>
      <c r="T152">
        <f t="shared" si="45"/>
        <v>39097.450127626907</v>
      </c>
      <c r="U152">
        <f t="shared" si="46"/>
        <v>29638.819961400572</v>
      </c>
      <c r="V152">
        <f t="shared" si="49"/>
        <v>29.638819961400571</v>
      </c>
      <c r="AA152" s="11"/>
      <c r="AB152" s="11"/>
      <c r="AC152" s="11"/>
      <c r="AD152" s="26"/>
      <c r="AE152" s="26">
        <f t="shared" si="55"/>
        <v>0.82309414670808223</v>
      </c>
      <c r="AF152" s="26">
        <f t="shared" si="39"/>
        <v>1.0401224745682174</v>
      </c>
    </row>
    <row r="153" spans="1:32" x14ac:dyDescent="0.2">
      <c r="A153" s="30">
        <v>44433</v>
      </c>
      <c r="B153">
        <v>117</v>
      </c>
      <c r="C153" t="s">
        <v>142</v>
      </c>
      <c r="D153">
        <v>43.6706</v>
      </c>
      <c r="E153">
        <v>67.060100000000006</v>
      </c>
      <c r="F153">
        <v>44.633800000000001</v>
      </c>
      <c r="G153">
        <v>43.892000000000003</v>
      </c>
      <c r="H153">
        <f t="shared" ref="H153:H212" si="59">(E153-D153)</f>
        <v>23.389500000000005</v>
      </c>
      <c r="I153">
        <f t="shared" si="58"/>
        <v>0.9632000000000005</v>
      </c>
      <c r="J153" s="13">
        <f t="shared" si="52"/>
        <v>4.1180871758695154</v>
      </c>
      <c r="K153">
        <f t="shared" si="43"/>
        <v>0.74179999999999779</v>
      </c>
      <c r="L153" s="13">
        <f t="shared" si="44"/>
        <v>77.01411960132863</v>
      </c>
      <c r="M153" s="11">
        <f t="shared" si="53"/>
        <v>4.091590368970734</v>
      </c>
      <c r="N153" s="11">
        <v>3.7856845045175995</v>
      </c>
      <c r="O153" s="31">
        <f t="shared" si="47"/>
        <v>3.938637436744167</v>
      </c>
      <c r="P153" s="31">
        <f t="shared" si="56"/>
        <v>0.2045795184485367</v>
      </c>
      <c r="Q153" s="11">
        <f>AVERAGE(L153:L155)</f>
        <v>77.307164119307757</v>
      </c>
      <c r="R153" s="11">
        <v>78.661211595432391</v>
      </c>
      <c r="S153" s="11">
        <f t="shared" si="48"/>
        <v>77.984187857370074</v>
      </c>
      <c r="T153">
        <f t="shared" si="45"/>
        <v>41180.871758695153</v>
      </c>
      <c r="U153">
        <f t="shared" si="46"/>
        <v>31715.085829111249</v>
      </c>
      <c r="V153">
        <f t="shared" si="49"/>
        <v>31.715085829111249</v>
      </c>
      <c r="X153">
        <f t="shared" si="57"/>
        <v>31.631161095075655</v>
      </c>
      <c r="Y153">
        <v>29.75925152929776</v>
      </c>
      <c r="Z153">
        <f t="shared" si="50"/>
        <v>30.695206312186706</v>
      </c>
      <c r="AA153" s="11">
        <f t="shared" si="42"/>
        <v>40915.903689707331</v>
      </c>
      <c r="AB153" s="11">
        <f t="shared" si="51"/>
        <v>40.915903689707328</v>
      </c>
      <c r="AC153" s="11">
        <f>AVERAGE(U153:U155)</f>
        <v>31631.161095075655</v>
      </c>
      <c r="AD153" s="26">
        <f t="shared" si="54"/>
        <v>0.13035058597334168</v>
      </c>
      <c r="AE153" s="26">
        <f t="shared" si="55"/>
        <v>0.26407607310516579</v>
      </c>
      <c r="AF153" s="26">
        <f t="shared" si="39"/>
        <v>1.0261975893491055</v>
      </c>
    </row>
    <row r="154" spans="1:32" x14ac:dyDescent="0.2">
      <c r="C154" t="s">
        <v>91</v>
      </c>
      <c r="D154">
        <v>42.213999999999999</v>
      </c>
      <c r="E154">
        <v>64.385999999999996</v>
      </c>
      <c r="F154">
        <v>43.089799999999997</v>
      </c>
      <c r="G154">
        <v>42.412100000000002</v>
      </c>
      <c r="H154">
        <f t="shared" si="59"/>
        <v>22.171999999999997</v>
      </c>
      <c r="I154">
        <f t="shared" si="58"/>
        <v>0.87579999999999814</v>
      </c>
      <c r="J154" s="13">
        <f t="shared" si="52"/>
        <v>3.9500270611582096</v>
      </c>
      <c r="K154">
        <f t="shared" si="43"/>
        <v>0.67769999999999442</v>
      </c>
      <c r="L154" s="13">
        <f t="shared" si="44"/>
        <v>77.380680520666346</v>
      </c>
      <c r="M154" s="11"/>
      <c r="N154" s="11"/>
      <c r="O154" s="31"/>
      <c r="P154" s="31">
        <f t="shared" si="56"/>
        <v>0</v>
      </c>
      <c r="Q154" s="11"/>
      <c r="R154" s="11"/>
      <c r="S154" s="11"/>
      <c r="T154">
        <f t="shared" si="45"/>
        <v>39500.270611582091</v>
      </c>
      <c r="U154">
        <f t="shared" si="46"/>
        <v>30565.578206747003</v>
      </c>
      <c r="V154">
        <f t="shared" si="49"/>
        <v>30.565578206747002</v>
      </c>
      <c r="AA154" s="11"/>
      <c r="AB154" s="11"/>
      <c r="AC154" s="11"/>
      <c r="AD154" s="26"/>
      <c r="AF154" s="26">
        <f t="shared" si="39"/>
        <v>2.4063523912288374</v>
      </c>
    </row>
    <row r="155" spans="1:32" x14ac:dyDescent="0.2">
      <c r="C155" t="s">
        <v>141</v>
      </c>
      <c r="D155">
        <v>22.034500000000001</v>
      </c>
      <c r="E155">
        <v>44.967199999999998</v>
      </c>
      <c r="F155">
        <v>22.999199999999998</v>
      </c>
      <c r="G155">
        <v>22.251300000000001</v>
      </c>
      <c r="H155">
        <f t="shared" si="59"/>
        <v>22.932699999999997</v>
      </c>
      <c r="I155">
        <f t="shared" si="58"/>
        <v>0.964699999999997</v>
      </c>
      <c r="J155" s="13">
        <f t="shared" si="52"/>
        <v>4.2066568698844762</v>
      </c>
      <c r="K155">
        <f t="shared" si="43"/>
        <v>0.74789999999999779</v>
      </c>
      <c r="L155" s="13">
        <f t="shared" si="44"/>
        <v>77.52669223592828</v>
      </c>
      <c r="M155" s="11"/>
      <c r="N155" s="11"/>
      <c r="O155" s="31"/>
      <c r="P155" s="31">
        <f t="shared" si="56"/>
        <v>0</v>
      </c>
      <c r="Q155" s="11"/>
      <c r="R155" s="11"/>
      <c r="S155" s="11"/>
      <c r="T155">
        <f t="shared" si="45"/>
        <v>42066.568698844756</v>
      </c>
      <c r="U155">
        <f t="shared" si="46"/>
        <v>32612.819249368713</v>
      </c>
      <c r="V155">
        <f t="shared" si="49"/>
        <v>32.612819249368712</v>
      </c>
      <c r="AA155" s="11"/>
      <c r="AB155" s="11"/>
      <c r="AC155" s="11"/>
      <c r="AD155" s="26"/>
    </row>
    <row r="156" spans="1:32" x14ac:dyDescent="0.2">
      <c r="A156" s="30">
        <v>44435</v>
      </c>
      <c r="B156">
        <v>119</v>
      </c>
      <c r="C156" t="s">
        <v>33</v>
      </c>
      <c r="D156">
        <v>24.436</v>
      </c>
      <c r="E156">
        <v>47.353499999999997</v>
      </c>
      <c r="F156">
        <v>25.285900000000002</v>
      </c>
      <c r="G156">
        <v>24.648399999999999</v>
      </c>
      <c r="H156">
        <f t="shared" si="59"/>
        <v>22.917499999999997</v>
      </c>
      <c r="I156">
        <f t="shared" si="58"/>
        <v>0.84990000000000165</v>
      </c>
      <c r="J156" s="13">
        <f t="shared" si="52"/>
        <v>3.7085196901930915</v>
      </c>
      <c r="K156">
        <f t="shared" si="43"/>
        <v>0.63750000000000284</v>
      </c>
      <c r="L156" s="13">
        <f t="shared" si="44"/>
        <v>75.008824567596378</v>
      </c>
      <c r="M156" s="11">
        <f t="shared" si="53"/>
        <v>3.7619439602416214</v>
      </c>
      <c r="N156" s="11">
        <v>3.7030869091425553</v>
      </c>
      <c r="O156" s="31">
        <f t="shared" si="47"/>
        <v>3.7325154346920884</v>
      </c>
      <c r="P156" s="31">
        <f t="shared" si="56"/>
        <v>0.18809719801208108</v>
      </c>
      <c r="Q156" s="11">
        <f>AVERAGE(L156:L158)</f>
        <v>75.252638958639139</v>
      </c>
      <c r="R156" s="11">
        <v>76.167477856039781</v>
      </c>
      <c r="S156" s="11">
        <f t="shared" si="48"/>
        <v>75.71005840733946</v>
      </c>
      <c r="T156">
        <f t="shared" si="45"/>
        <v>37085.196901930911</v>
      </c>
      <c r="U156">
        <f t="shared" si="46"/>
        <v>27817.170284717045</v>
      </c>
      <c r="V156">
        <f t="shared" si="49"/>
        <v>27.817170284717044</v>
      </c>
      <c r="X156">
        <f t="shared" si="57"/>
        <v>28.314284884601914</v>
      </c>
      <c r="Y156">
        <v>28.215998665392046</v>
      </c>
      <c r="Z156">
        <f t="shared" si="50"/>
        <v>28.26514177499698</v>
      </c>
      <c r="AA156" s="11">
        <f t="shared" ref="AA156:AA174" si="60">AVERAGE(T156:T158)</f>
        <v>37619.439602416205</v>
      </c>
      <c r="AB156" s="11">
        <f t="shared" si="51"/>
        <v>37.619439602416207</v>
      </c>
      <c r="AC156" s="11">
        <f>AVERAGE(U156:U158)</f>
        <v>28314.284884601915</v>
      </c>
      <c r="AD156" s="26">
        <f t="shared" si="54"/>
        <v>0.14466628013266633</v>
      </c>
    </row>
    <row r="157" spans="1:32" x14ac:dyDescent="0.2">
      <c r="C157">
        <v>87</v>
      </c>
      <c r="D157">
        <v>22.888999999999999</v>
      </c>
      <c r="E157">
        <v>42.847099999999998</v>
      </c>
      <c r="F157">
        <v>23.672499999999999</v>
      </c>
      <c r="G157">
        <v>23.078499999999998</v>
      </c>
      <c r="H157">
        <f t="shared" si="59"/>
        <v>19.958099999999998</v>
      </c>
      <c r="I157">
        <f t="shared" si="58"/>
        <v>0.78350000000000009</v>
      </c>
      <c r="J157" s="13">
        <f t="shared" si="52"/>
        <v>3.9257243926025032</v>
      </c>
      <c r="K157">
        <f t="shared" si="43"/>
        <v>0.59400000000000119</v>
      </c>
      <c r="L157" s="13">
        <f t="shared" si="44"/>
        <v>75.81365666879401</v>
      </c>
      <c r="M157" s="11"/>
      <c r="N157" s="11"/>
      <c r="O157" s="31"/>
      <c r="P157" s="31">
        <f t="shared" si="56"/>
        <v>0</v>
      </c>
      <c r="Q157" s="11"/>
      <c r="R157" s="11"/>
      <c r="S157" s="11"/>
      <c r="T157">
        <f t="shared" si="45"/>
        <v>39257.243926025032</v>
      </c>
      <c r="U157">
        <f t="shared" si="46"/>
        <v>29762.352127707611</v>
      </c>
      <c r="V157">
        <f t="shared" si="49"/>
        <v>29.762352127707612</v>
      </c>
      <c r="AA157" s="11"/>
      <c r="AB157" s="11"/>
      <c r="AC157" s="11"/>
      <c r="AD157" s="26"/>
    </row>
    <row r="158" spans="1:32" x14ac:dyDescent="0.2">
      <c r="C158" t="s">
        <v>135</v>
      </c>
      <c r="D158">
        <v>24.594899999999999</v>
      </c>
      <c r="E158">
        <v>44.7423</v>
      </c>
      <c r="F158">
        <v>25.3306</v>
      </c>
      <c r="G158">
        <v>24.779299999999999</v>
      </c>
      <c r="H158">
        <f t="shared" si="59"/>
        <v>20.147400000000001</v>
      </c>
      <c r="I158">
        <f t="shared" si="58"/>
        <v>0.73570000000000135</v>
      </c>
      <c r="J158" s="13">
        <f t="shared" si="52"/>
        <v>3.6515877979292677</v>
      </c>
      <c r="K158">
        <f t="shared" si="43"/>
        <v>0.55130000000000123</v>
      </c>
      <c r="L158" s="13">
        <f t="shared" si="44"/>
        <v>74.935435639527014</v>
      </c>
      <c r="M158" s="11"/>
      <c r="N158" s="11"/>
      <c r="O158" s="31"/>
      <c r="P158" s="31">
        <f t="shared" si="56"/>
        <v>0</v>
      </c>
      <c r="Q158" s="11"/>
      <c r="R158" s="11"/>
      <c r="S158" s="11"/>
      <c r="T158">
        <f t="shared" si="45"/>
        <v>36515.87797929268</v>
      </c>
      <c r="U158">
        <f t="shared" si="46"/>
        <v>27363.332241381082</v>
      </c>
      <c r="V158">
        <f t="shared" si="49"/>
        <v>27.36333224138108</v>
      </c>
      <c r="AA158" s="11"/>
      <c r="AB158" s="11"/>
      <c r="AC158" s="11"/>
      <c r="AD158" s="26"/>
    </row>
    <row r="159" spans="1:32" x14ac:dyDescent="0.2">
      <c r="A159" s="30">
        <v>44438</v>
      </c>
      <c r="B159">
        <v>122</v>
      </c>
      <c r="C159" t="s">
        <v>36</v>
      </c>
      <c r="D159">
        <v>24.591200000000001</v>
      </c>
      <c r="E159">
        <v>45.0486</v>
      </c>
      <c r="F159">
        <v>25.3612</v>
      </c>
      <c r="G159">
        <v>24.7639</v>
      </c>
      <c r="H159">
        <f t="shared" si="59"/>
        <v>20.4574</v>
      </c>
      <c r="I159">
        <f t="shared" si="58"/>
        <v>0.76999999999999957</v>
      </c>
      <c r="J159" s="13">
        <f t="shared" si="52"/>
        <v>3.7639191686138003</v>
      </c>
      <c r="K159">
        <f t="shared" si="43"/>
        <v>0.59730000000000061</v>
      </c>
      <c r="L159" s="13">
        <f t="shared" si="44"/>
        <v>77.571428571428697</v>
      </c>
      <c r="M159" s="11">
        <f t="shared" si="53"/>
        <v>3.750040746242858</v>
      </c>
      <c r="N159" s="11">
        <v>3.9911641748126265</v>
      </c>
      <c r="O159" s="31">
        <f t="shared" si="47"/>
        <v>3.870602460527742</v>
      </c>
      <c r="P159" s="31">
        <f t="shared" si="56"/>
        <v>0.18750203731214291</v>
      </c>
      <c r="Q159" s="11">
        <f>AVERAGE(L159:L161)</f>
        <v>77.544990808568897</v>
      </c>
      <c r="R159" s="11">
        <v>73.93549928340552</v>
      </c>
      <c r="S159" s="11">
        <f t="shared" si="48"/>
        <v>75.740245045987209</v>
      </c>
      <c r="T159">
        <f t="shared" si="45"/>
        <v>37639.191686138001</v>
      </c>
      <c r="U159">
        <f t="shared" si="46"/>
        <v>29197.258693675671</v>
      </c>
      <c r="V159">
        <f t="shared" si="49"/>
        <v>29.197258693675671</v>
      </c>
      <c r="X159">
        <f t="shared" si="57"/>
        <v>29.079752666690137</v>
      </c>
      <c r="Y159">
        <v>29.512961003794679</v>
      </c>
      <c r="Z159">
        <f t="shared" si="50"/>
        <v>29.296356835242406</v>
      </c>
      <c r="AA159" s="11">
        <f t="shared" si="60"/>
        <v>37500.407462428579</v>
      </c>
      <c r="AB159" s="11">
        <f t="shared" si="51"/>
        <v>37.500407462428576</v>
      </c>
      <c r="AC159" s="11">
        <f>AVERAGE(U159:U161)</f>
        <v>29079.752666690139</v>
      </c>
      <c r="AD159" s="26">
        <f t="shared" si="54"/>
        <v>1.3320364023843888E-2</v>
      </c>
    </row>
    <row r="160" spans="1:32" x14ac:dyDescent="0.2">
      <c r="C160">
        <v>85</v>
      </c>
      <c r="D160">
        <v>52.2226</v>
      </c>
      <c r="E160">
        <v>71.143100000000004</v>
      </c>
      <c r="F160">
        <v>52.931899999999999</v>
      </c>
      <c r="G160">
        <v>52.381100000000004</v>
      </c>
      <c r="H160">
        <f t="shared" si="59"/>
        <v>18.920500000000004</v>
      </c>
      <c r="I160">
        <f t="shared" si="58"/>
        <v>0.70929999999999893</v>
      </c>
      <c r="J160" s="13">
        <f t="shared" si="52"/>
        <v>3.7488438466213831</v>
      </c>
      <c r="K160">
        <f t="shared" si="43"/>
        <v>0.55079999999999529</v>
      </c>
      <c r="L160" s="13">
        <f t="shared" si="44"/>
        <v>77.654025095163703</v>
      </c>
      <c r="M160" s="11"/>
      <c r="N160" s="11"/>
      <c r="O160" s="31"/>
      <c r="P160" s="31">
        <f t="shared" si="56"/>
        <v>0</v>
      </c>
      <c r="Q160" s="11"/>
      <c r="R160" s="11"/>
      <c r="S160" s="11"/>
      <c r="T160">
        <f t="shared" si="45"/>
        <v>37488.438466213833</v>
      </c>
      <c r="U160">
        <f t="shared" si="46"/>
        <v>29111.28141433869</v>
      </c>
      <c r="V160">
        <f t="shared" si="49"/>
        <v>29.111281414338688</v>
      </c>
      <c r="AA160" s="11"/>
      <c r="AB160" s="11"/>
      <c r="AC160" s="11"/>
      <c r="AD160" s="26"/>
    </row>
    <row r="161" spans="1:30" x14ac:dyDescent="0.2">
      <c r="C161">
        <v>9</v>
      </c>
      <c r="D161">
        <v>19.991399999999999</v>
      </c>
      <c r="E161">
        <v>40.174100000000003</v>
      </c>
      <c r="F161">
        <v>20.745699999999999</v>
      </c>
      <c r="G161">
        <v>20.161799999999999</v>
      </c>
      <c r="H161">
        <f t="shared" si="59"/>
        <v>20.182700000000004</v>
      </c>
      <c r="I161">
        <f t="shared" si="58"/>
        <v>0.75430000000000064</v>
      </c>
      <c r="J161" s="13">
        <f t="shared" si="52"/>
        <v>3.7373592234933901</v>
      </c>
      <c r="K161">
        <f t="shared" si="43"/>
        <v>0.58389999999999986</v>
      </c>
      <c r="L161" s="13">
        <f t="shared" si="44"/>
        <v>77.40951875911432</v>
      </c>
      <c r="M161" s="11"/>
      <c r="N161" s="11"/>
      <c r="O161" s="31"/>
      <c r="P161" s="31">
        <f t="shared" si="56"/>
        <v>0</v>
      </c>
      <c r="Q161" s="11"/>
      <c r="R161" s="11"/>
      <c r="S161" s="11"/>
      <c r="T161">
        <f t="shared" si="45"/>
        <v>37373.592234933902</v>
      </c>
      <c r="U161">
        <f t="shared" si="46"/>
        <v>28930.717892056055</v>
      </c>
      <c r="V161">
        <f t="shared" si="49"/>
        <v>28.930717892056055</v>
      </c>
      <c r="AA161" s="11"/>
      <c r="AB161" s="11"/>
      <c r="AC161" s="11"/>
      <c r="AD161" s="26"/>
    </row>
    <row r="162" spans="1:30" x14ac:dyDescent="0.2">
      <c r="A162" s="30">
        <v>44440</v>
      </c>
      <c r="B162">
        <v>124</v>
      </c>
      <c r="C162">
        <v>2</v>
      </c>
      <c r="D162">
        <v>36.296799999999998</v>
      </c>
      <c r="E162">
        <v>59.440600000000003</v>
      </c>
      <c r="F162">
        <v>37.253300000000003</v>
      </c>
      <c r="G162">
        <v>36.5443</v>
      </c>
      <c r="H162">
        <f t="shared" si="59"/>
        <v>23.143800000000006</v>
      </c>
      <c r="I162">
        <f t="shared" si="58"/>
        <v>0.95650000000000546</v>
      </c>
      <c r="J162" s="13">
        <f t="shared" si="52"/>
        <v>4.1328563157303693</v>
      </c>
      <c r="K162">
        <f t="shared" si="43"/>
        <v>0.70900000000000318</v>
      </c>
      <c r="L162" s="13">
        <f t="shared" si="44"/>
        <v>74.124411918452608</v>
      </c>
      <c r="M162" s="11">
        <f t="shared" si="53"/>
        <v>4.1834816264579731</v>
      </c>
      <c r="N162" s="11">
        <v>3.8235115827452097</v>
      </c>
      <c r="O162" s="31">
        <f t="shared" si="47"/>
        <v>4.0034966046015912</v>
      </c>
      <c r="P162" s="31">
        <f t="shared" si="56"/>
        <v>0.20917408132289866</v>
      </c>
      <c r="Q162" s="11">
        <f>AVERAGE(L162:L164)</f>
        <v>73.624100496262827</v>
      </c>
      <c r="R162" s="11">
        <v>75.08316000676723</v>
      </c>
      <c r="S162" s="11">
        <f t="shared" si="48"/>
        <v>74.353630251515028</v>
      </c>
      <c r="T162">
        <f t="shared" si="45"/>
        <v>41328.563157303695</v>
      </c>
      <c r="U162">
        <f t="shared" si="46"/>
        <v>30634.554394697629</v>
      </c>
      <c r="V162">
        <f t="shared" si="49"/>
        <v>30.634554394697627</v>
      </c>
      <c r="X162">
        <f t="shared" si="57"/>
        <v>30.799479688766365</v>
      </c>
      <c r="Y162">
        <v>28.710741492139189</v>
      </c>
      <c r="Z162">
        <f t="shared" si="50"/>
        <v>29.755110590452777</v>
      </c>
      <c r="AA162" s="11">
        <f t="shared" si="60"/>
        <v>41834.816264579727</v>
      </c>
      <c r="AB162" s="11">
        <f t="shared" si="51"/>
        <v>41.834816264579729</v>
      </c>
      <c r="AC162" s="11">
        <f>AVERAGE(U162:U164)</f>
        <v>30799.479688766358</v>
      </c>
      <c r="AD162" s="26">
        <f t="shared" si="54"/>
        <v>4.586729911590031E-2</v>
      </c>
    </row>
    <row r="163" spans="1:30" x14ac:dyDescent="0.2">
      <c r="C163" t="s">
        <v>142</v>
      </c>
      <c r="D163">
        <v>43.673900000000003</v>
      </c>
      <c r="E163">
        <v>65.614699999999999</v>
      </c>
      <c r="F163">
        <v>44.600299999999997</v>
      </c>
      <c r="G163">
        <v>43.918100000000003</v>
      </c>
      <c r="H163">
        <f t="shared" si="59"/>
        <v>21.940799999999996</v>
      </c>
      <c r="I163">
        <f t="shared" si="58"/>
        <v>0.9263999999999939</v>
      </c>
      <c r="J163" s="13">
        <f t="shared" si="52"/>
        <v>4.2222708378910259</v>
      </c>
      <c r="K163">
        <f t="shared" si="43"/>
        <v>0.68219999999999459</v>
      </c>
      <c r="L163" s="13">
        <f t="shared" si="44"/>
        <v>73.639896373056899</v>
      </c>
      <c r="M163" s="11"/>
      <c r="N163" s="11"/>
      <c r="O163" s="31"/>
      <c r="P163" s="31">
        <f t="shared" si="56"/>
        <v>0</v>
      </c>
      <c r="Q163" s="11"/>
      <c r="R163" s="11"/>
      <c r="S163" s="11"/>
      <c r="T163">
        <f t="shared" si="45"/>
        <v>42222.708378910254</v>
      </c>
      <c r="U163">
        <f t="shared" si="46"/>
        <v>31092.758696127523</v>
      </c>
      <c r="V163">
        <f t="shared" si="49"/>
        <v>31.092758696127522</v>
      </c>
      <c r="AA163" s="11"/>
      <c r="AB163" s="11"/>
      <c r="AC163" s="11"/>
      <c r="AD163" s="26"/>
    </row>
    <row r="164" spans="1:30" x14ac:dyDescent="0.2">
      <c r="C164" t="s">
        <v>137</v>
      </c>
      <c r="D164">
        <v>41.4938</v>
      </c>
      <c r="E164">
        <v>63.918799999999997</v>
      </c>
      <c r="F164">
        <v>42.434600000000003</v>
      </c>
      <c r="G164">
        <v>41.7468</v>
      </c>
      <c r="H164">
        <f t="shared" si="59"/>
        <v>22.424999999999997</v>
      </c>
      <c r="I164">
        <f t="shared" si="58"/>
        <v>0.94080000000000297</v>
      </c>
      <c r="J164" s="13">
        <f t="shared" si="52"/>
        <v>4.1953177257525223</v>
      </c>
      <c r="K164">
        <f t="shared" si="43"/>
        <v>0.68780000000000285</v>
      </c>
      <c r="L164" s="13">
        <f t="shared" si="44"/>
        <v>73.107993197278986</v>
      </c>
      <c r="M164" s="11"/>
      <c r="N164" s="11"/>
      <c r="O164" s="31"/>
      <c r="P164" s="31">
        <f t="shared" si="56"/>
        <v>0</v>
      </c>
      <c r="Q164" s="11"/>
      <c r="R164" s="11"/>
      <c r="S164" s="11"/>
      <c r="T164">
        <f t="shared" si="45"/>
        <v>41953.177257525225</v>
      </c>
      <c r="U164">
        <f t="shared" si="46"/>
        <v>30671.125975473933</v>
      </c>
      <c r="V164">
        <f t="shared" si="49"/>
        <v>30.671125975473934</v>
      </c>
      <c r="AA164" s="11"/>
      <c r="AB164" s="11"/>
      <c r="AC164" s="11"/>
      <c r="AD164" s="26"/>
    </row>
    <row r="165" spans="1:30" x14ac:dyDescent="0.2">
      <c r="A165" s="30">
        <v>44442</v>
      </c>
      <c r="B165">
        <v>126</v>
      </c>
      <c r="C165">
        <v>85</v>
      </c>
      <c r="D165">
        <v>52.274000000000001</v>
      </c>
      <c r="E165">
        <v>74.128200000000007</v>
      </c>
      <c r="F165">
        <v>53.168300000000002</v>
      </c>
      <c r="G165">
        <v>52.486600000000003</v>
      </c>
      <c r="H165">
        <f t="shared" si="59"/>
        <v>21.854200000000006</v>
      </c>
      <c r="I165">
        <f t="shared" si="58"/>
        <v>0.89430000000000121</v>
      </c>
      <c r="J165" s="13">
        <f t="shared" si="52"/>
        <v>4.0921195925725993</v>
      </c>
      <c r="K165">
        <f t="shared" si="43"/>
        <v>0.68169999999999931</v>
      </c>
      <c r="L165" s="13">
        <f t="shared" si="44"/>
        <v>76.227216817622548</v>
      </c>
      <c r="M165" s="11">
        <f t="shared" si="53"/>
        <v>4.0738648610163013</v>
      </c>
      <c r="N165" s="11">
        <v>3.7795119982650465</v>
      </c>
      <c r="O165" s="31">
        <f t="shared" si="47"/>
        <v>3.9266884296406737</v>
      </c>
      <c r="P165" s="31">
        <f t="shared" si="56"/>
        <v>0.20369324305081507</v>
      </c>
      <c r="Q165" s="11">
        <f>AVERAGE(L165:L167)</f>
        <v>79.0349107845757</v>
      </c>
      <c r="R165" s="11">
        <v>75.946880394264511</v>
      </c>
      <c r="S165" s="11">
        <f t="shared" si="48"/>
        <v>77.490895589420106</v>
      </c>
      <c r="T165">
        <f t="shared" si="45"/>
        <v>40921.195925725988</v>
      </c>
      <c r="U165">
        <f t="shared" si="46"/>
        <v>31193.088742667271</v>
      </c>
      <c r="V165">
        <f t="shared" si="49"/>
        <v>31.193088742667271</v>
      </c>
      <c r="X165">
        <f t="shared" si="57"/>
        <v>32.192396486177394</v>
      </c>
      <c r="Y165">
        <v>28.720797030601663</v>
      </c>
      <c r="Z165">
        <f t="shared" si="50"/>
        <v>30.45659675838953</v>
      </c>
      <c r="AA165" s="11">
        <f t="shared" si="60"/>
        <v>40738.648610163022</v>
      </c>
      <c r="AB165" s="11">
        <f t="shared" si="51"/>
        <v>40.738648610163018</v>
      </c>
      <c r="AC165" s="11">
        <f>AVERAGE(U165:U167)</f>
        <v>32192.396486177389</v>
      </c>
      <c r="AD165" s="26">
        <f t="shared" si="54"/>
        <v>2.3194937382005381E-2</v>
      </c>
    </row>
    <row r="166" spans="1:30" x14ac:dyDescent="0.2">
      <c r="C166">
        <v>87</v>
      </c>
      <c r="D166">
        <v>22.9573</v>
      </c>
      <c r="E166">
        <v>43.963200000000001</v>
      </c>
      <c r="F166">
        <v>23.814699999999998</v>
      </c>
      <c r="G166">
        <v>23.1462</v>
      </c>
      <c r="H166">
        <f t="shared" si="59"/>
        <v>21.0059</v>
      </c>
      <c r="I166">
        <f t="shared" si="58"/>
        <v>0.85739999999999839</v>
      </c>
      <c r="J166" s="13">
        <f t="shared" si="52"/>
        <v>4.081710376608469</v>
      </c>
      <c r="K166">
        <f t="shared" si="43"/>
        <v>0.6684999999999981</v>
      </c>
      <c r="L166" s="13">
        <f t="shared" si="44"/>
        <v>77.96827618381144</v>
      </c>
      <c r="M166" s="11"/>
      <c r="N166" s="11"/>
      <c r="O166" s="31"/>
      <c r="P166" s="31">
        <f t="shared" si="56"/>
        <v>0</v>
      </c>
      <c r="Q166" s="11"/>
      <c r="R166" s="11"/>
      <c r="S166" s="11"/>
      <c r="T166">
        <f t="shared" si="45"/>
        <v>40817.103766084692</v>
      </c>
      <c r="U166">
        <f t="shared" si="46"/>
        <v>31824.392194573815</v>
      </c>
      <c r="V166">
        <f t="shared" si="49"/>
        <v>31.824392194573814</v>
      </c>
      <c r="AA166" s="11"/>
      <c r="AB166" s="11"/>
      <c r="AC166" s="11"/>
      <c r="AD166" s="26"/>
    </row>
    <row r="167" spans="1:30" x14ac:dyDescent="0.2">
      <c r="C167" t="s">
        <v>85</v>
      </c>
      <c r="D167">
        <v>38.916499999999999</v>
      </c>
      <c r="E167">
        <v>57.072200000000002</v>
      </c>
      <c r="F167">
        <v>39.651400000000002</v>
      </c>
      <c r="G167">
        <v>39.042099999999998</v>
      </c>
      <c r="H167">
        <f t="shared" si="59"/>
        <v>18.155700000000003</v>
      </c>
      <c r="I167">
        <f t="shared" si="58"/>
        <v>0.73490000000000322</v>
      </c>
      <c r="J167" s="13">
        <f t="shared" si="52"/>
        <v>4.0477646138678383</v>
      </c>
      <c r="K167">
        <f t="shared" si="43"/>
        <v>0.60930000000000462</v>
      </c>
      <c r="L167" s="13">
        <f t="shared" si="44"/>
        <v>82.909239352293099</v>
      </c>
      <c r="M167" s="11"/>
      <c r="N167" s="11"/>
      <c r="O167" s="31"/>
      <c r="P167" s="31">
        <f t="shared" si="56"/>
        <v>0</v>
      </c>
      <c r="Q167" s="11"/>
      <c r="R167" s="11"/>
      <c r="S167" s="11"/>
      <c r="T167">
        <f t="shared" si="45"/>
        <v>40477.646138678378</v>
      </c>
      <c r="U167">
        <f t="shared" si="46"/>
        <v>33559.708521291082</v>
      </c>
      <c r="V167">
        <f t="shared" si="49"/>
        <v>33.559708521291086</v>
      </c>
      <c r="AA167" s="11"/>
      <c r="AB167" s="11"/>
      <c r="AC167" s="11"/>
      <c r="AD167" s="26"/>
    </row>
    <row r="168" spans="1:30" x14ac:dyDescent="0.2">
      <c r="A168" s="30">
        <v>44445</v>
      </c>
      <c r="B168">
        <v>129</v>
      </c>
      <c r="C168" t="s">
        <v>159</v>
      </c>
      <c r="D168">
        <v>25.648</v>
      </c>
      <c r="E168">
        <v>46.609499999999997</v>
      </c>
      <c r="F168">
        <v>26.4922</v>
      </c>
      <c r="G168">
        <v>25.855799999999999</v>
      </c>
      <c r="H168">
        <f t="shared" si="59"/>
        <v>20.961499999999997</v>
      </c>
      <c r="I168">
        <f t="shared" si="58"/>
        <v>0.84420000000000073</v>
      </c>
      <c r="J168" s="13">
        <f t="shared" si="52"/>
        <v>4.0273835364835575</v>
      </c>
      <c r="K168">
        <f t="shared" si="43"/>
        <v>0.63640000000000185</v>
      </c>
      <c r="L168" s="13">
        <f t="shared" si="44"/>
        <v>75.384979862591962</v>
      </c>
      <c r="M168" s="11">
        <f t="shared" si="53"/>
        <v>4.362005792603167</v>
      </c>
      <c r="N168" s="11">
        <v>4.8143759991331079</v>
      </c>
      <c r="O168" s="31">
        <f t="shared" si="47"/>
        <v>4.5881908958681379</v>
      </c>
      <c r="P168" s="31">
        <f t="shared" ref="P168:P199" si="61">(M168/20)</f>
        <v>0.21810028963015834</v>
      </c>
      <c r="Q168" s="11">
        <f>AVERAGE(L168:L170)</f>
        <v>75.722807699922598</v>
      </c>
      <c r="R168" s="11">
        <v>72.877145503968734</v>
      </c>
      <c r="S168" s="11">
        <f t="shared" si="48"/>
        <v>74.299976601945673</v>
      </c>
      <c r="T168">
        <f t="shared" si="45"/>
        <v>40273.83536483557</v>
      </c>
      <c r="U168">
        <f t="shared" si="46"/>
        <v>30360.422679674735</v>
      </c>
      <c r="V168">
        <f t="shared" si="49"/>
        <v>30.360422679674734</v>
      </c>
      <c r="X168">
        <f t="shared" si="57"/>
        <v>33.028952261489707</v>
      </c>
      <c r="Y168">
        <v>35.086174753728315</v>
      </c>
      <c r="Z168">
        <f t="shared" si="50"/>
        <v>34.057563507609011</v>
      </c>
      <c r="AA168" s="11">
        <f t="shared" si="60"/>
        <v>43620.057926031666</v>
      </c>
      <c r="AB168" s="11">
        <f t="shared" si="51"/>
        <v>43.620057926031663</v>
      </c>
      <c r="AC168" s="11">
        <f>AVERAGE(U168:U170)</f>
        <v>33028.952261489707</v>
      </c>
      <c r="AD168" s="26">
        <f t="shared" si="54"/>
        <v>0.42590442643767562</v>
      </c>
    </row>
    <row r="169" spans="1:30" x14ac:dyDescent="0.2">
      <c r="C169" t="s">
        <v>160</v>
      </c>
      <c r="D169">
        <v>22.039200000000001</v>
      </c>
      <c r="E169">
        <v>42.19</v>
      </c>
      <c r="F169">
        <v>22.888999999999999</v>
      </c>
      <c r="G169">
        <v>22.241199999999999</v>
      </c>
      <c r="H169">
        <f t="shared" si="59"/>
        <v>20.150799999999997</v>
      </c>
      <c r="I169">
        <f t="shared" si="58"/>
        <v>0.84979999999999833</v>
      </c>
      <c r="J169" s="13">
        <f t="shared" si="52"/>
        <v>4.2172022946979704</v>
      </c>
      <c r="K169">
        <f t="shared" si="43"/>
        <v>0.64780000000000015</v>
      </c>
      <c r="L169" s="13">
        <f t="shared" si="44"/>
        <v>76.229701106142784</v>
      </c>
      <c r="M169" s="11"/>
      <c r="N169" s="11"/>
      <c r="O169" s="31"/>
      <c r="P169" s="31">
        <f t="shared" si="61"/>
        <v>0</v>
      </c>
      <c r="Q169" s="11"/>
      <c r="R169" s="11"/>
      <c r="S169" s="11"/>
      <c r="T169">
        <f t="shared" si="45"/>
        <v>42172.022946979698</v>
      </c>
      <c r="U169">
        <f t="shared" si="46"/>
        <v>32147.607042896569</v>
      </c>
      <c r="V169">
        <f t="shared" si="49"/>
        <v>32.147607042896567</v>
      </c>
      <c r="AA169" s="11"/>
      <c r="AB169" s="11"/>
      <c r="AC169" s="11"/>
      <c r="AD169" s="26"/>
    </row>
    <row r="170" spans="1:30" x14ac:dyDescent="0.2">
      <c r="C170">
        <v>3</v>
      </c>
      <c r="D170">
        <v>44.517400000000002</v>
      </c>
      <c r="E170">
        <v>62.235300000000002</v>
      </c>
      <c r="F170">
        <v>45.3752</v>
      </c>
      <c r="G170">
        <v>44.7271</v>
      </c>
      <c r="H170">
        <f t="shared" si="59"/>
        <v>17.7179</v>
      </c>
      <c r="I170">
        <f t="shared" si="58"/>
        <v>0.85779999999999745</v>
      </c>
      <c r="J170" s="13">
        <f t="shared" si="52"/>
        <v>4.8414315466279723</v>
      </c>
      <c r="K170">
        <f t="shared" si="43"/>
        <v>0.64809999999999945</v>
      </c>
      <c r="L170" s="13">
        <f t="shared" si="44"/>
        <v>75.553742131033033</v>
      </c>
      <c r="M170" s="11"/>
      <c r="N170" s="11"/>
      <c r="O170" s="31"/>
      <c r="P170" s="31">
        <f t="shared" si="61"/>
        <v>0</v>
      </c>
      <c r="Q170" s="11"/>
      <c r="R170" s="11"/>
      <c r="S170" s="11"/>
      <c r="T170">
        <f t="shared" si="45"/>
        <v>48414.315466279724</v>
      </c>
      <c r="U170">
        <f t="shared" si="46"/>
        <v>36578.82706189782</v>
      </c>
      <c r="V170">
        <f t="shared" si="49"/>
        <v>36.578827061897819</v>
      </c>
      <c r="AA170" s="11"/>
      <c r="AB170" s="11"/>
      <c r="AC170" s="11"/>
      <c r="AD170" s="26"/>
    </row>
    <row r="171" spans="1:30" x14ac:dyDescent="0.2">
      <c r="A171" s="30">
        <v>44447</v>
      </c>
      <c r="B171">
        <v>131</v>
      </c>
      <c r="C171" t="s">
        <v>36</v>
      </c>
      <c r="D171">
        <v>24.602900000000002</v>
      </c>
      <c r="E171">
        <v>41.881500000000003</v>
      </c>
      <c r="F171">
        <v>25.2698</v>
      </c>
      <c r="G171">
        <v>24.772600000000001</v>
      </c>
      <c r="H171">
        <f t="shared" si="59"/>
        <v>17.278600000000001</v>
      </c>
      <c r="I171">
        <f t="shared" si="58"/>
        <v>0.66689999999999827</v>
      </c>
      <c r="J171" s="13">
        <f t="shared" si="52"/>
        <v>3.8596877061798889</v>
      </c>
      <c r="K171">
        <f t="shared" si="43"/>
        <v>0.49719999999999942</v>
      </c>
      <c r="L171" s="13">
        <f t="shared" si="44"/>
        <v>74.553906132853612</v>
      </c>
      <c r="M171" s="11">
        <f t="shared" si="53"/>
        <v>4.0351626608742004</v>
      </c>
      <c r="N171" s="11">
        <v>4.9099074359348132</v>
      </c>
      <c r="O171" s="31">
        <f t="shared" si="47"/>
        <v>4.4725350484045068</v>
      </c>
      <c r="P171" s="31">
        <f t="shared" si="61"/>
        <v>0.20175813304371001</v>
      </c>
      <c r="Q171" s="11">
        <f>AVERAGE(L171:L173)</f>
        <v>74.631693882626109</v>
      </c>
      <c r="R171" s="11">
        <v>70.117734986749312</v>
      </c>
      <c r="S171" s="11">
        <f t="shared" si="48"/>
        <v>72.374714434687718</v>
      </c>
      <c r="T171">
        <f t="shared" si="45"/>
        <v>38596.877061798885</v>
      </c>
      <c r="U171">
        <f t="shared" si="46"/>
        <v>28775.479494866446</v>
      </c>
      <c r="V171">
        <f t="shared" si="49"/>
        <v>28.775479494866445</v>
      </c>
      <c r="X171">
        <f t="shared" si="57"/>
        <v>30.116198551897295</v>
      </c>
      <c r="Y171">
        <v>34.433443673029792</v>
      </c>
      <c r="Z171">
        <f t="shared" si="50"/>
        <v>32.274821112463542</v>
      </c>
      <c r="AA171" s="11">
        <f t="shared" si="60"/>
        <v>40351.626608741994</v>
      </c>
      <c r="AB171" s="11">
        <f t="shared" si="51"/>
        <v>40.351626608741995</v>
      </c>
      <c r="AC171" s="11">
        <f>AVERAGE(U171:U173)</f>
        <v>30116.198551897291</v>
      </c>
      <c r="AD171" s="26">
        <f t="shared" si="54"/>
        <v>0.15691289969906524</v>
      </c>
    </row>
    <row r="172" spans="1:30" x14ac:dyDescent="0.2">
      <c r="C172">
        <v>6</v>
      </c>
      <c r="D172">
        <v>21.154599999999999</v>
      </c>
      <c r="E172">
        <v>41.9163</v>
      </c>
      <c r="F172">
        <v>22.018699999999999</v>
      </c>
      <c r="G172">
        <v>21.3721</v>
      </c>
      <c r="H172">
        <f t="shared" si="59"/>
        <v>20.761700000000001</v>
      </c>
      <c r="I172">
        <f t="shared" si="58"/>
        <v>0.86410000000000053</v>
      </c>
      <c r="J172" s="13">
        <f t="shared" si="52"/>
        <v>4.1619905884392923</v>
      </c>
      <c r="K172">
        <f t="shared" si="43"/>
        <v>0.6465999999999994</v>
      </c>
      <c r="L172" s="13">
        <f t="shared" si="44"/>
        <v>74.829302164101264</v>
      </c>
      <c r="M172" s="11"/>
      <c r="N172" s="11"/>
      <c r="O172" s="31"/>
      <c r="P172" s="31">
        <f t="shared" si="61"/>
        <v>0</v>
      </c>
      <c r="Q172" s="11"/>
      <c r="R172" s="11"/>
      <c r="S172" s="11"/>
      <c r="T172">
        <f t="shared" si="45"/>
        <v>41619.905884392916</v>
      </c>
      <c r="U172">
        <f t="shared" si="46"/>
        <v>31143.885134646938</v>
      </c>
      <c r="V172">
        <f t="shared" si="49"/>
        <v>31.14388513464694</v>
      </c>
      <c r="AA172" s="11"/>
      <c r="AB172" s="11"/>
      <c r="AC172" s="11"/>
      <c r="AD172" s="26"/>
    </row>
    <row r="173" spans="1:30" x14ac:dyDescent="0.2">
      <c r="C173" t="s">
        <v>134</v>
      </c>
      <c r="D173">
        <v>24.618099999999998</v>
      </c>
      <c r="E173">
        <v>43.179200000000002</v>
      </c>
      <c r="F173">
        <v>25.376100000000001</v>
      </c>
      <c r="G173">
        <v>24.811299999999999</v>
      </c>
      <c r="H173">
        <f t="shared" si="59"/>
        <v>18.561100000000003</v>
      </c>
      <c r="I173">
        <f t="shared" si="58"/>
        <v>0.75800000000000267</v>
      </c>
      <c r="J173" s="13">
        <f t="shared" si="52"/>
        <v>4.0838096880034191</v>
      </c>
      <c r="K173">
        <f t="shared" si="43"/>
        <v>0.56480000000000175</v>
      </c>
      <c r="L173" s="13">
        <f t="shared" si="44"/>
        <v>74.511873350923452</v>
      </c>
      <c r="M173" s="11"/>
      <c r="N173" s="11"/>
      <c r="O173" s="31"/>
      <c r="P173" s="31">
        <f t="shared" si="61"/>
        <v>0</v>
      </c>
      <c r="Q173" s="11"/>
      <c r="R173" s="11"/>
      <c r="S173" s="11"/>
      <c r="T173">
        <f t="shared" si="45"/>
        <v>40838.096880034187</v>
      </c>
      <c r="U173">
        <f t="shared" si="46"/>
        <v>30429.231026178495</v>
      </c>
      <c r="V173">
        <f t="shared" si="49"/>
        <v>30.429231026178496</v>
      </c>
      <c r="AA173" s="11"/>
      <c r="AB173" s="11"/>
      <c r="AC173" s="11"/>
      <c r="AD173" s="26"/>
    </row>
    <row r="174" spans="1:30" x14ac:dyDescent="0.2">
      <c r="A174" s="30">
        <v>44449</v>
      </c>
      <c r="B174">
        <v>133</v>
      </c>
      <c r="C174" t="s">
        <v>85</v>
      </c>
      <c r="D174">
        <v>38.905000000000001</v>
      </c>
      <c r="E174">
        <v>60.338299999999997</v>
      </c>
      <c r="F174">
        <v>39.913499999999999</v>
      </c>
      <c r="G174">
        <v>39.122199999999999</v>
      </c>
      <c r="H174">
        <f>(E174-D174)</f>
        <v>21.433299999999996</v>
      </c>
      <c r="I174">
        <f t="shared" si="58"/>
        <v>1.008499999999998</v>
      </c>
      <c r="J174" s="13">
        <f t="shared" si="52"/>
        <v>4.7052950315630264</v>
      </c>
      <c r="K174">
        <f t="shared" si="43"/>
        <v>0.79129999999999967</v>
      </c>
      <c r="L174" s="13">
        <f t="shared" si="44"/>
        <v>78.463063956370974</v>
      </c>
      <c r="M174" s="11">
        <f t="shared" si="53"/>
        <v>4.9205009697385718</v>
      </c>
      <c r="N174" s="11">
        <v>4.0752160403114077</v>
      </c>
      <c r="O174" s="31">
        <f t="shared" si="47"/>
        <v>4.4978585050249897</v>
      </c>
      <c r="P174" s="31">
        <f t="shared" si="61"/>
        <v>0.24602504848692858</v>
      </c>
      <c r="Q174" s="11">
        <f>AVERAGE(L174:L176)</f>
        <v>75.453165880728776</v>
      </c>
      <c r="R174" s="11">
        <v>77.071212123595998</v>
      </c>
      <c r="S174" s="11">
        <f t="shared" si="48"/>
        <v>76.262189002162387</v>
      </c>
      <c r="T174">
        <f t="shared" si="45"/>
        <v>47052.950315630267</v>
      </c>
      <c r="U174">
        <f t="shared" si="46"/>
        <v>36919.186499512434</v>
      </c>
      <c r="V174">
        <f t="shared" si="49"/>
        <v>36.919186499512435</v>
      </c>
      <c r="X174">
        <f t="shared" si="57"/>
        <v>37.071891022265476</v>
      </c>
      <c r="Y174">
        <v>31.409415918710419</v>
      </c>
      <c r="Z174">
        <f t="shared" si="50"/>
        <v>34.240653470487949</v>
      </c>
      <c r="AA174" s="11">
        <f t="shared" si="60"/>
        <v>49205.009697385714</v>
      </c>
      <c r="AB174" s="11">
        <f t="shared" si="51"/>
        <v>49.205009697385712</v>
      </c>
      <c r="AC174" s="11">
        <f>AVERAGE(U174:U176)</f>
        <v>37071.891022265481</v>
      </c>
      <c r="AD174" s="26">
        <f t="shared" si="54"/>
        <v>0.23838797311103541</v>
      </c>
    </row>
    <row r="175" spans="1:30" x14ac:dyDescent="0.2">
      <c r="C175">
        <v>1</v>
      </c>
      <c r="D175">
        <v>36.246099999999998</v>
      </c>
      <c r="E175">
        <v>58.812100000000001</v>
      </c>
      <c r="F175">
        <v>37.347200000000001</v>
      </c>
      <c r="G175">
        <v>36.508000000000003</v>
      </c>
      <c r="H175">
        <f t="shared" si="59"/>
        <v>22.566000000000003</v>
      </c>
      <c r="I175">
        <f t="shared" si="58"/>
        <v>1.1011000000000024</v>
      </c>
      <c r="J175" s="13">
        <f t="shared" si="52"/>
        <v>4.8794646813790763</v>
      </c>
      <c r="K175">
        <f t="shared" si="43"/>
        <v>0.83919999999999817</v>
      </c>
      <c r="L175" s="13">
        <f t="shared" si="44"/>
        <v>76.214694396512243</v>
      </c>
      <c r="M175" s="11"/>
      <c r="N175" s="11"/>
      <c r="O175" s="31"/>
      <c r="P175" s="31">
        <f t="shared" si="61"/>
        <v>0</v>
      </c>
      <c r="Q175" s="11"/>
      <c r="R175" s="11"/>
      <c r="S175" s="11"/>
      <c r="T175">
        <f t="shared" si="45"/>
        <v>48794.646813790758</v>
      </c>
      <c r="U175">
        <f t="shared" si="46"/>
        <v>37188.690950988122</v>
      </c>
      <c r="V175">
        <f t="shared" si="49"/>
        <v>37.188690950988125</v>
      </c>
      <c r="AA175" s="11"/>
      <c r="AB175" s="11"/>
      <c r="AC175" s="11"/>
      <c r="AD175" s="26"/>
    </row>
    <row r="176" spans="1:30" x14ac:dyDescent="0.2">
      <c r="C176" t="s">
        <v>161</v>
      </c>
      <c r="D176">
        <v>24.522600000000001</v>
      </c>
      <c r="E176">
        <v>45.6691</v>
      </c>
      <c r="F176">
        <v>25.6173</v>
      </c>
      <c r="G176">
        <v>24.832599999999999</v>
      </c>
      <c r="H176">
        <f t="shared" si="59"/>
        <v>21.1465</v>
      </c>
      <c r="I176">
        <f t="shared" si="58"/>
        <v>1.0946999999999996</v>
      </c>
      <c r="J176" s="13">
        <f t="shared" si="52"/>
        <v>5.1767431962736126</v>
      </c>
      <c r="K176">
        <f t="shared" si="43"/>
        <v>0.78470000000000084</v>
      </c>
      <c r="L176" s="13">
        <f t="shared" si="44"/>
        <v>71.68173928930311</v>
      </c>
      <c r="M176" s="11"/>
      <c r="N176" s="11"/>
      <c r="O176" s="31"/>
      <c r="P176" s="31">
        <f t="shared" si="61"/>
        <v>0</v>
      </c>
      <c r="Q176" s="11"/>
      <c r="R176" s="11"/>
      <c r="S176" s="11"/>
      <c r="T176">
        <f t="shared" si="45"/>
        <v>51767.431962736133</v>
      </c>
      <c r="U176">
        <f t="shared" si="46"/>
        <v>37107.79561629588</v>
      </c>
      <c r="V176">
        <f t="shared" si="49"/>
        <v>37.107795616295881</v>
      </c>
      <c r="AA176" s="11"/>
      <c r="AB176" s="11"/>
      <c r="AC176" s="11"/>
      <c r="AD176" s="26"/>
    </row>
    <row r="177" spans="1:30" x14ac:dyDescent="0.2">
      <c r="A177" s="30">
        <v>44452</v>
      </c>
      <c r="B177">
        <v>136</v>
      </c>
      <c r="C177" t="s">
        <v>162</v>
      </c>
      <c r="D177">
        <v>19.994599999999998</v>
      </c>
      <c r="E177">
        <v>41.934899999999999</v>
      </c>
      <c r="F177">
        <v>20.876799999999999</v>
      </c>
      <c r="G177">
        <v>20.191199999999998</v>
      </c>
      <c r="H177">
        <f t="shared" si="59"/>
        <v>21.940300000000001</v>
      </c>
      <c r="I177">
        <f t="shared" si="58"/>
        <v>0.88220000000000098</v>
      </c>
      <c r="J177" s="13">
        <f t="shared" si="52"/>
        <v>4.0209112910944738</v>
      </c>
      <c r="K177">
        <f t="shared" si="43"/>
        <v>0.68560000000000088</v>
      </c>
      <c r="L177" s="13">
        <f t="shared" si="44"/>
        <v>77.71480389934257</v>
      </c>
      <c r="M177" s="11">
        <f t="shared" si="53"/>
        <v>4.0956805220579229</v>
      </c>
      <c r="N177" s="11">
        <v>5.2811515002185958</v>
      </c>
      <c r="O177" s="31">
        <f t="shared" si="47"/>
        <v>4.6884160111382593</v>
      </c>
      <c r="P177" s="31">
        <f t="shared" si="61"/>
        <v>0.20478402610289614</v>
      </c>
      <c r="Q177" s="11">
        <f>AVERAGE(L177:L179)</f>
        <v>77.793614392552016</v>
      </c>
      <c r="R177" s="11">
        <v>72.159401800748526</v>
      </c>
      <c r="S177" s="11">
        <f t="shared" si="48"/>
        <v>74.976508096650264</v>
      </c>
      <c r="T177">
        <f t="shared" si="45"/>
        <v>40209.112910944743</v>
      </c>
      <c r="U177">
        <f t="shared" si="46"/>
        <v>31248.433248405941</v>
      </c>
      <c r="V177">
        <f t="shared" si="49"/>
        <v>31.248433248405941</v>
      </c>
      <c r="X177">
        <f>(AVERAGE(V177:V179))</f>
        <v>31.862152815704011</v>
      </c>
      <c r="Y177">
        <v>38.116724625577135</v>
      </c>
      <c r="Z177">
        <f>AVERAGE(X177,Y177)</f>
        <v>34.989438720640571</v>
      </c>
      <c r="AA177" s="11">
        <f t="shared" ref="AA177:AA192" si="62">AVERAGE(T177:T179)</f>
        <v>40956.805220579234</v>
      </c>
      <c r="AB177" s="11">
        <f t="shared" si="51"/>
        <v>40.956805220579234</v>
      </c>
      <c r="AC177" s="11">
        <f>AVERAGE(U177:U179)</f>
        <v>31862.152815704016</v>
      </c>
      <c r="AD177" s="26">
        <f t="shared" si="54"/>
        <v>6.577407282767242E-2</v>
      </c>
    </row>
    <row r="178" spans="1:30" x14ac:dyDescent="0.2">
      <c r="C178" t="s">
        <v>33</v>
      </c>
      <c r="D178">
        <v>24.4407</v>
      </c>
      <c r="E178">
        <v>45.829900000000002</v>
      </c>
      <c r="F178">
        <v>25.327200000000001</v>
      </c>
      <c r="G178">
        <v>24.636299999999999</v>
      </c>
      <c r="H178">
        <f t="shared" si="59"/>
        <v>21.389200000000002</v>
      </c>
      <c r="I178">
        <f t="shared" si="58"/>
        <v>0.88650000000000162</v>
      </c>
      <c r="J178" s="13">
        <f t="shared" si="52"/>
        <v>4.1446150393656689</v>
      </c>
      <c r="K178">
        <f t="shared" si="43"/>
        <v>0.69090000000000273</v>
      </c>
      <c r="L178" s="13">
        <f t="shared" si="44"/>
        <v>77.935702199661762</v>
      </c>
      <c r="M178" s="11"/>
      <c r="N178" s="11"/>
      <c r="O178" s="31"/>
      <c r="P178" s="31">
        <f t="shared" si="61"/>
        <v>0</v>
      </c>
      <c r="Q178" s="11"/>
      <c r="R178" s="11"/>
      <c r="S178" s="11"/>
      <c r="T178">
        <f t="shared" si="45"/>
        <v>41446.150393656688</v>
      </c>
      <c r="U178">
        <f t="shared" si="46"/>
        <v>32301.348344024213</v>
      </c>
      <c r="V178">
        <f t="shared" si="49"/>
        <v>32.301348344024213</v>
      </c>
      <c r="AA178" s="11"/>
      <c r="AB178" s="11"/>
      <c r="AC178" s="11"/>
      <c r="AD178" s="26"/>
    </row>
    <row r="179" spans="1:30" x14ac:dyDescent="0.2">
      <c r="C179">
        <v>6</v>
      </c>
      <c r="D179">
        <v>21.1495</v>
      </c>
      <c r="E179">
        <v>42.743499999999997</v>
      </c>
      <c r="F179">
        <v>22.0395</v>
      </c>
      <c r="G179">
        <v>21.3477</v>
      </c>
      <c r="H179">
        <f t="shared" si="59"/>
        <v>21.593999999999998</v>
      </c>
      <c r="I179">
        <f t="shared" si="58"/>
        <v>0.89000000000000057</v>
      </c>
      <c r="J179" s="13">
        <f t="shared" si="52"/>
        <v>4.1215152357136269</v>
      </c>
      <c r="K179">
        <f t="shared" si="43"/>
        <v>0.69180000000000064</v>
      </c>
      <c r="L179" s="13">
        <f t="shared" si="44"/>
        <v>77.730337078651715</v>
      </c>
      <c r="M179" s="11"/>
      <c r="N179" s="11"/>
      <c r="O179" s="31"/>
      <c r="P179" s="31">
        <f t="shared" si="61"/>
        <v>0</v>
      </c>
      <c r="Q179" s="11"/>
      <c r="R179" s="11"/>
      <c r="S179" s="11"/>
      <c r="T179">
        <f t="shared" si="45"/>
        <v>41215.15235713627</v>
      </c>
      <c r="U179">
        <f t="shared" si="46"/>
        <v>32036.676854681889</v>
      </c>
      <c r="V179">
        <f t="shared" si="49"/>
        <v>32.036676854681886</v>
      </c>
      <c r="AA179" s="11"/>
      <c r="AB179" s="11"/>
      <c r="AC179" s="11"/>
      <c r="AD179" s="26"/>
    </row>
    <row r="180" spans="1:30" x14ac:dyDescent="0.2">
      <c r="A180" s="30">
        <v>44454</v>
      </c>
      <c r="B180">
        <v>138</v>
      </c>
      <c r="C180" t="s">
        <v>40</v>
      </c>
      <c r="D180">
        <v>23.8949</v>
      </c>
      <c r="E180">
        <v>46.220700000000001</v>
      </c>
      <c r="F180">
        <v>25.0002</v>
      </c>
      <c r="G180">
        <v>24.223400000000002</v>
      </c>
      <c r="H180">
        <f t="shared" si="59"/>
        <v>22.325800000000001</v>
      </c>
      <c r="I180">
        <f t="shared" si="58"/>
        <v>1.1052999999999997</v>
      </c>
      <c r="J180" s="13">
        <f t="shared" si="52"/>
        <v>4.9507744403336034</v>
      </c>
      <c r="K180">
        <f t="shared" si="43"/>
        <v>0.77679999999999794</v>
      </c>
      <c r="L180" s="13">
        <f t="shared" si="44"/>
        <v>70.279562109834259</v>
      </c>
      <c r="M180" s="11">
        <f t="shared" si="53"/>
        <v>5.0132292811659536</v>
      </c>
      <c r="N180" s="11">
        <v>4.2877566662804822</v>
      </c>
      <c r="O180" s="31">
        <f t="shared" si="47"/>
        <v>4.6504929737232175</v>
      </c>
      <c r="P180" s="31">
        <f t="shared" si="61"/>
        <v>0.2506614640582977</v>
      </c>
      <c r="Q180" s="11">
        <f>AVERAGE(L180:L182)</f>
        <v>70.474927717669303</v>
      </c>
      <c r="R180" s="11">
        <v>75.257046910015262</v>
      </c>
      <c r="S180" s="11">
        <f t="shared" si="48"/>
        <v>72.865987313842282</v>
      </c>
      <c r="T180">
        <f t="shared" si="45"/>
        <v>49507.744403336037</v>
      </c>
      <c r="U180">
        <f t="shared" si="46"/>
        <v>34793.825977120541</v>
      </c>
      <c r="V180">
        <f t="shared" si="49"/>
        <v>34.793825977120541</v>
      </c>
      <c r="X180">
        <f t="shared" si="57"/>
        <v>35.332043547597394</v>
      </c>
      <c r="Y180">
        <v>32.266703440000306</v>
      </c>
      <c r="Z180">
        <f t="shared" si="50"/>
        <v>33.799373493798853</v>
      </c>
      <c r="AA180" s="11">
        <f t="shared" si="62"/>
        <v>50132.292811659536</v>
      </c>
      <c r="AB180" s="11">
        <f t="shared" si="51"/>
        <v>50.132292811659539</v>
      </c>
      <c r="AC180" s="11">
        <f>AVERAGE(U180:U182)</f>
        <v>35332.043547597401</v>
      </c>
      <c r="AD180" s="26">
        <f t="shared" si="54"/>
        <v>6.5342552119929509E-2</v>
      </c>
    </row>
    <row r="181" spans="1:30" x14ac:dyDescent="0.2">
      <c r="C181">
        <v>85</v>
      </c>
      <c r="D181">
        <v>52.2288</v>
      </c>
      <c r="E181">
        <v>74.479799999999997</v>
      </c>
      <c r="F181">
        <v>53.359400000000001</v>
      </c>
      <c r="G181">
        <v>52.558100000000003</v>
      </c>
      <c r="H181">
        <f t="shared" si="59"/>
        <v>22.250999999999998</v>
      </c>
      <c r="I181">
        <f t="shared" si="58"/>
        <v>1.1306000000000012</v>
      </c>
      <c r="J181" s="13">
        <f t="shared" si="52"/>
        <v>5.0811199496651893</v>
      </c>
      <c r="K181">
        <f t="shared" si="43"/>
        <v>0.80129999999999768</v>
      </c>
      <c r="L181" s="13">
        <f t="shared" si="44"/>
        <v>70.873872280204921</v>
      </c>
      <c r="M181" s="11"/>
      <c r="N181" s="11"/>
      <c r="O181" s="31"/>
      <c r="P181" s="31">
        <f t="shared" si="61"/>
        <v>0</v>
      </c>
      <c r="Q181" s="11"/>
      <c r="R181" s="11"/>
      <c r="S181" s="11"/>
      <c r="T181">
        <f t="shared" si="45"/>
        <v>50811.199496651898</v>
      </c>
      <c r="U181">
        <f t="shared" si="46"/>
        <v>36011.864635297185</v>
      </c>
      <c r="V181">
        <f t="shared" si="49"/>
        <v>36.011864635297187</v>
      </c>
      <c r="AA181" s="11"/>
      <c r="AB181" s="11"/>
      <c r="AC181" s="11"/>
      <c r="AD181" s="26"/>
    </row>
    <row r="182" spans="1:30" x14ac:dyDescent="0.2">
      <c r="C182" t="s">
        <v>136</v>
      </c>
      <c r="D182">
        <v>25.5321</v>
      </c>
      <c r="E182">
        <v>45.548900000000003</v>
      </c>
      <c r="F182">
        <v>26.534500000000001</v>
      </c>
      <c r="G182">
        <v>25.830100000000002</v>
      </c>
      <c r="H182">
        <f t="shared" si="59"/>
        <v>20.016800000000003</v>
      </c>
      <c r="I182">
        <f t="shared" si="58"/>
        <v>1.0024000000000015</v>
      </c>
      <c r="J182" s="13">
        <f t="shared" si="52"/>
        <v>5.0077934534990671</v>
      </c>
      <c r="K182">
        <f t="shared" si="43"/>
        <v>0.70439999999999969</v>
      </c>
      <c r="L182" s="13">
        <f t="shared" si="44"/>
        <v>70.271348762968728</v>
      </c>
      <c r="M182" s="11"/>
      <c r="N182" s="11"/>
      <c r="O182" s="31"/>
      <c r="P182" s="31">
        <f t="shared" si="61"/>
        <v>0</v>
      </c>
      <c r="Q182" s="11"/>
      <c r="R182" s="11"/>
      <c r="S182" s="11"/>
      <c r="T182">
        <f t="shared" si="45"/>
        <v>50077.934534990673</v>
      </c>
      <c r="U182">
        <f t="shared" si="46"/>
        <v>35190.440030374462</v>
      </c>
      <c r="V182">
        <f t="shared" si="49"/>
        <v>35.190440030374461</v>
      </c>
      <c r="AA182" s="11"/>
      <c r="AB182" s="11"/>
      <c r="AC182" s="11"/>
      <c r="AD182" s="26"/>
    </row>
    <row r="183" spans="1:30" x14ac:dyDescent="0.2">
      <c r="A183" s="30">
        <v>44456</v>
      </c>
      <c r="B183">
        <v>140</v>
      </c>
      <c r="C183" t="s">
        <v>91</v>
      </c>
      <c r="D183">
        <v>42.219200000000001</v>
      </c>
      <c r="E183">
        <v>64.787099999999995</v>
      </c>
      <c r="F183">
        <v>43.322899999999997</v>
      </c>
      <c r="G183">
        <v>42.546799999999998</v>
      </c>
      <c r="H183">
        <f t="shared" si="59"/>
        <v>22.567899999999995</v>
      </c>
      <c r="I183">
        <f t="shared" si="58"/>
        <v>1.1036999999999964</v>
      </c>
      <c r="J183" s="13">
        <f t="shared" si="52"/>
        <v>4.8905746657863451</v>
      </c>
      <c r="K183">
        <f t="shared" si="43"/>
        <v>0.77609999999999957</v>
      </c>
      <c r="L183" s="13">
        <f t="shared" si="44"/>
        <v>70.318021201413615</v>
      </c>
      <c r="M183" s="11">
        <f t="shared" si="53"/>
        <v>4.8897348408605881</v>
      </c>
      <c r="N183" s="11">
        <v>4.1905683167717198</v>
      </c>
      <c r="O183" s="31">
        <f t="shared" si="47"/>
        <v>4.5401515788161539</v>
      </c>
      <c r="P183" s="31">
        <f t="shared" si="61"/>
        <v>0.24448674204302939</v>
      </c>
      <c r="Q183" s="11">
        <f>AVERAGE(L183:L185)</f>
        <v>69.712347581470723</v>
      </c>
      <c r="R183" s="11">
        <v>76.046779541472702</v>
      </c>
      <c r="S183" s="11">
        <f t="shared" si="48"/>
        <v>72.879563561471713</v>
      </c>
      <c r="T183">
        <f t="shared" si="45"/>
        <v>48905.746657863448</v>
      </c>
      <c r="U183">
        <f t="shared" si="46"/>
        <v>34389.553303586057</v>
      </c>
      <c r="V183">
        <f t="shared" si="49"/>
        <v>34.389553303586055</v>
      </c>
      <c r="X183">
        <f t="shared" si="57"/>
        <v>34.11003941569372</v>
      </c>
      <c r="Y183">
        <v>31.868593790923274</v>
      </c>
      <c r="Z183">
        <f t="shared" si="50"/>
        <v>32.989316603308495</v>
      </c>
      <c r="AA183" s="11">
        <f t="shared" si="62"/>
        <v>48897.348408605882</v>
      </c>
      <c r="AB183" s="11">
        <f t="shared" si="51"/>
        <v>48.897348408605879</v>
      </c>
      <c r="AC183" s="11">
        <f>AVERAGE(U183:U185)</f>
        <v>34110.039415693718</v>
      </c>
      <c r="AD183" s="26">
        <f t="shared" si="54"/>
        <v>0.17169420555113549</v>
      </c>
    </row>
    <row r="184" spans="1:30" x14ac:dyDescent="0.2">
      <c r="C184" t="s">
        <v>166</v>
      </c>
      <c r="D184">
        <v>25.523700000000002</v>
      </c>
      <c r="E184">
        <v>48.7727</v>
      </c>
      <c r="F184">
        <v>26.6205</v>
      </c>
      <c r="G184">
        <v>25.880800000000001</v>
      </c>
      <c r="H184">
        <f t="shared" si="59"/>
        <v>23.248999999999999</v>
      </c>
      <c r="I184">
        <f t="shared" si="58"/>
        <v>1.0967999999999982</v>
      </c>
      <c r="J184" s="13">
        <f t="shared" si="52"/>
        <v>4.7176222633231468</v>
      </c>
      <c r="K184">
        <f t="shared" si="43"/>
        <v>0.73969999999999914</v>
      </c>
      <c r="L184" s="13">
        <f t="shared" si="44"/>
        <v>67.441648431801639</v>
      </c>
      <c r="M184" s="11"/>
      <c r="N184" s="11"/>
      <c r="O184" s="31"/>
      <c r="P184" s="31">
        <f t="shared" si="61"/>
        <v>0</v>
      </c>
      <c r="Q184" s="11"/>
      <c r="R184" s="11"/>
      <c r="S184" s="11"/>
      <c r="T184">
        <f t="shared" si="45"/>
        <v>47176.222633231468</v>
      </c>
      <c r="U184">
        <f t="shared" si="46"/>
        <v>31816.422211707995</v>
      </c>
      <c r="V184">
        <f t="shared" si="49"/>
        <v>31.816422211707994</v>
      </c>
      <c r="AA184" s="11"/>
      <c r="AB184" s="11"/>
      <c r="AC184" s="11"/>
      <c r="AD184" s="26"/>
    </row>
    <row r="185" spans="1:30" x14ac:dyDescent="0.2">
      <c r="C185">
        <v>2</v>
      </c>
      <c r="D185">
        <v>36.297899999999998</v>
      </c>
      <c r="E185">
        <v>56.697000000000003</v>
      </c>
      <c r="F185">
        <v>37.330300000000001</v>
      </c>
      <c r="G185">
        <v>36.593400000000003</v>
      </c>
      <c r="H185">
        <f t="shared" si="59"/>
        <v>20.399100000000004</v>
      </c>
      <c r="I185">
        <f t="shared" si="58"/>
        <v>1.0324000000000026</v>
      </c>
      <c r="J185" s="13">
        <f t="shared" si="52"/>
        <v>5.0610075934722731</v>
      </c>
      <c r="K185">
        <f t="shared" si="43"/>
        <v>0.73689999999999856</v>
      </c>
      <c r="L185" s="13">
        <f t="shared" si="44"/>
        <v>71.377373111196889</v>
      </c>
      <c r="M185" s="11"/>
      <c r="N185" s="11"/>
      <c r="O185" s="31"/>
      <c r="P185" s="31">
        <f t="shared" si="61"/>
        <v>0</v>
      </c>
      <c r="Q185" s="11"/>
      <c r="R185" s="11"/>
      <c r="S185" s="11"/>
      <c r="T185">
        <f t="shared" si="45"/>
        <v>50610.075934722729</v>
      </c>
      <c r="U185">
        <f t="shared" si="46"/>
        <v>36124.142731787106</v>
      </c>
      <c r="V185">
        <f t="shared" si="49"/>
        <v>36.124142731787103</v>
      </c>
      <c r="AA185" s="11"/>
      <c r="AB185" s="11"/>
      <c r="AC185" s="11"/>
      <c r="AD185" s="26"/>
    </row>
    <row r="186" spans="1:30" x14ac:dyDescent="0.2">
      <c r="A186" s="30">
        <v>44459</v>
      </c>
      <c r="B186">
        <v>143</v>
      </c>
      <c r="C186">
        <v>87</v>
      </c>
      <c r="D186">
        <v>22.8949</v>
      </c>
      <c r="E186">
        <v>45.257399999999997</v>
      </c>
      <c r="F186">
        <v>24.011399999999998</v>
      </c>
      <c r="G186">
        <v>23.2273</v>
      </c>
      <c r="H186">
        <f t="shared" si="59"/>
        <v>22.362499999999997</v>
      </c>
      <c r="I186">
        <f t="shared" si="58"/>
        <v>1.1164999999999985</v>
      </c>
      <c r="J186" s="13">
        <f t="shared" si="52"/>
        <v>4.992733370598093</v>
      </c>
      <c r="K186">
        <f t="shared" si="43"/>
        <v>0.78409999999999869</v>
      </c>
      <c r="L186" s="13">
        <f t="shared" si="44"/>
        <v>70.228392297357786</v>
      </c>
      <c r="M186" s="11">
        <f t="shared" si="53"/>
        <v>4.965571984071536</v>
      </c>
      <c r="N186" s="11">
        <v>4.3385119445106133</v>
      </c>
      <c r="O186" s="31">
        <f t="shared" si="47"/>
        <v>4.6520419642910742</v>
      </c>
      <c r="P186" s="31">
        <f t="shared" si="61"/>
        <v>0.24827859920357681</v>
      </c>
      <c r="Q186" s="11">
        <f>AVERAGE(L186:L188)</f>
        <v>69.936889025921616</v>
      </c>
      <c r="R186" s="11">
        <v>77.800493354505946</v>
      </c>
      <c r="S186" s="11">
        <f t="shared" si="48"/>
        <v>73.868691190213781</v>
      </c>
      <c r="T186">
        <f t="shared" si="45"/>
        <v>49927.333705980927</v>
      </c>
      <c r="U186">
        <f t="shared" si="46"/>
        <v>35063.163778647235</v>
      </c>
      <c r="V186">
        <f t="shared" si="49"/>
        <v>35.063163778647237</v>
      </c>
      <c r="X186">
        <f t="shared" si="57"/>
        <v>34.732764762771787</v>
      </c>
      <c r="Y186">
        <v>33.829509397920432</v>
      </c>
      <c r="Z186">
        <f t="shared" si="50"/>
        <v>34.281137080346113</v>
      </c>
      <c r="AA186" s="11">
        <f t="shared" si="62"/>
        <v>49655.719840715356</v>
      </c>
      <c r="AB186" s="11">
        <f t="shared" si="51"/>
        <v>49.655719840715356</v>
      </c>
      <c r="AC186" s="11">
        <f>AVERAGE(U186:U188)</f>
        <v>34732.764762771782</v>
      </c>
      <c r="AD186" s="26">
        <f t="shared" si="54"/>
        <v>0.14321385796782085</v>
      </c>
    </row>
    <row r="187" spans="1:30" x14ac:dyDescent="0.2">
      <c r="C187">
        <v>6</v>
      </c>
      <c r="D187">
        <v>21.149000000000001</v>
      </c>
      <c r="E187">
        <v>41.077399999999997</v>
      </c>
      <c r="F187">
        <v>22.107700000000001</v>
      </c>
      <c r="G187">
        <v>21.4434</v>
      </c>
      <c r="H187">
        <f t="shared" si="59"/>
        <v>19.928399999999996</v>
      </c>
      <c r="I187">
        <f t="shared" si="58"/>
        <v>0.95870000000000033</v>
      </c>
      <c r="J187" s="13">
        <f t="shared" si="52"/>
        <v>4.810722386142392</v>
      </c>
      <c r="K187">
        <f t="shared" si="43"/>
        <v>0.66430000000000078</v>
      </c>
      <c r="L187" s="13">
        <f t="shared" si="44"/>
        <v>69.291749243767669</v>
      </c>
      <c r="M187" s="11"/>
      <c r="N187" s="11"/>
      <c r="O187" s="31"/>
      <c r="P187" s="31">
        <f t="shared" si="61"/>
        <v>0</v>
      </c>
      <c r="Q187" s="11"/>
      <c r="R187" s="11"/>
      <c r="S187" s="11"/>
      <c r="T187">
        <f t="shared" si="45"/>
        <v>48107.223861423925</v>
      </c>
      <c r="U187">
        <f t="shared" si="46"/>
        <v>33334.336926195829</v>
      </c>
      <c r="V187">
        <f t="shared" si="49"/>
        <v>33.334336926195832</v>
      </c>
      <c r="AA187" s="11"/>
      <c r="AB187" s="11"/>
      <c r="AC187" s="11"/>
      <c r="AD187" s="26"/>
    </row>
    <row r="188" spans="1:30" x14ac:dyDescent="0.2">
      <c r="C188">
        <v>25</v>
      </c>
      <c r="D188">
        <v>25.696999999999999</v>
      </c>
      <c r="E188">
        <v>46.917200000000001</v>
      </c>
      <c r="F188">
        <v>26.777799999999999</v>
      </c>
      <c r="G188">
        <v>26.0181</v>
      </c>
      <c r="H188">
        <f t="shared" si="59"/>
        <v>21.220200000000002</v>
      </c>
      <c r="I188">
        <f t="shared" si="58"/>
        <v>1.0808</v>
      </c>
      <c r="J188" s="13">
        <f t="shared" si="52"/>
        <v>5.093260195474123</v>
      </c>
      <c r="K188">
        <f t="shared" si="43"/>
        <v>0.75969999999999871</v>
      </c>
      <c r="L188" s="13">
        <f t="shared" si="44"/>
        <v>70.290525536639407</v>
      </c>
      <c r="M188" s="11"/>
      <c r="N188" s="11"/>
      <c r="O188" s="31"/>
      <c r="P188" s="31">
        <f t="shared" si="61"/>
        <v>0</v>
      </c>
      <c r="Q188" s="11"/>
      <c r="R188" s="11"/>
      <c r="S188" s="11"/>
      <c r="T188">
        <f t="shared" si="45"/>
        <v>50932.601954741229</v>
      </c>
      <c r="U188">
        <f t="shared" si="46"/>
        <v>35800.793583472288</v>
      </c>
      <c r="V188">
        <f t="shared" si="49"/>
        <v>35.800793583472291</v>
      </c>
      <c r="AA188" s="11"/>
      <c r="AB188" s="11"/>
      <c r="AC188" s="11"/>
      <c r="AD188" s="26"/>
    </row>
    <row r="189" spans="1:30" x14ac:dyDescent="0.2">
      <c r="A189" s="30">
        <v>44461</v>
      </c>
      <c r="B189">
        <v>145</v>
      </c>
      <c r="C189" t="s">
        <v>33</v>
      </c>
      <c r="D189">
        <v>23.438700000000001</v>
      </c>
      <c r="E189">
        <v>65.583399999999997</v>
      </c>
      <c r="F189">
        <v>24.744199999999999</v>
      </c>
      <c r="G189">
        <v>24.8324</v>
      </c>
      <c r="H189">
        <f>(E189-D189)</f>
        <v>42.1447</v>
      </c>
      <c r="I189">
        <f>(F189-D189)</f>
        <v>1.3054999999999986</v>
      </c>
      <c r="J189" s="13">
        <f>(I189/H189)*100</f>
        <v>3.0976611531224529</v>
      </c>
      <c r="K189">
        <f t="shared" si="43"/>
        <v>-8.82000000000005E-2</v>
      </c>
      <c r="L189" s="13">
        <f>(K189/I189)*100</f>
        <v>-6.7560321715818148</v>
      </c>
      <c r="M189" s="11">
        <f>AVERAGE(J189:J191)</f>
        <v>5.0796836758712187</v>
      </c>
      <c r="N189" s="11">
        <v>5.1589002284195988</v>
      </c>
      <c r="O189" s="31">
        <f>AVERAGE(M189,N189)</f>
        <v>5.1192919521454083</v>
      </c>
      <c r="P189" s="31">
        <f t="shared" si="61"/>
        <v>0.25398418379356091</v>
      </c>
      <c r="Q189" s="11">
        <f>AVERAGE(L189:L191)</f>
        <v>57.747048892834755</v>
      </c>
      <c r="R189" s="11">
        <v>82.89980854806781</v>
      </c>
      <c r="S189" s="11">
        <f>AVERAGE(Q189,R189)</f>
        <v>70.32342872045129</v>
      </c>
      <c r="T189">
        <f t="shared" si="45"/>
        <v>30976.611531224531</v>
      </c>
      <c r="U189">
        <f t="shared" si="46"/>
        <v>-2092.7898407154521</v>
      </c>
      <c r="V189">
        <f>((U189*1)/1000)</f>
        <v>-2.0927898407154522</v>
      </c>
      <c r="X189">
        <f>(AVERAGE(V189:V191))</f>
        <v>35.868825635850833</v>
      </c>
      <c r="Y189">
        <v>42.768160442447801</v>
      </c>
      <c r="Z189">
        <f>AVERAGE(X189,Y189)</f>
        <v>39.318493039149317</v>
      </c>
      <c r="AA189" s="11">
        <f t="shared" si="62"/>
        <v>50796.83675871219</v>
      </c>
      <c r="AB189" s="11">
        <f t="shared" si="51"/>
        <v>50.796836758712189</v>
      </c>
      <c r="AC189" s="11">
        <f>AVERAGE(U189:U191)</f>
        <v>35868.82563585083</v>
      </c>
      <c r="AD189" s="26">
        <f t="shared" si="54"/>
        <v>1.7193191388482743</v>
      </c>
    </row>
    <row r="190" spans="1:30" x14ac:dyDescent="0.2">
      <c r="C190" t="s">
        <v>162</v>
      </c>
      <c r="D190">
        <v>19.9895</v>
      </c>
      <c r="E190">
        <v>39.840600000000002</v>
      </c>
      <c r="F190">
        <v>21.175000000000001</v>
      </c>
      <c r="G190">
        <v>20.365300000000001</v>
      </c>
      <c r="H190">
        <f t="shared" si="59"/>
        <v>19.851100000000002</v>
      </c>
      <c r="I190">
        <f t="shared" si="58"/>
        <v>1.1855000000000011</v>
      </c>
      <c r="J190" s="13">
        <f t="shared" si="52"/>
        <v>5.9719612515175529</v>
      </c>
      <c r="K190">
        <f t="shared" si="43"/>
        <v>0.80969999999999942</v>
      </c>
      <c r="L190" s="13">
        <f t="shared" si="44"/>
        <v>68.300295234078334</v>
      </c>
      <c r="M190" s="11"/>
      <c r="N190" s="11"/>
      <c r="O190" s="31"/>
      <c r="P190" s="31">
        <f t="shared" si="61"/>
        <v>0</v>
      </c>
      <c r="Q190" s="11"/>
      <c r="R190" s="11"/>
      <c r="S190" s="11"/>
      <c r="T190">
        <f t="shared" si="45"/>
        <v>59719.612515175533</v>
      </c>
      <c r="U190">
        <f t="shared" si="46"/>
        <v>40788.671660512482</v>
      </c>
      <c r="V190">
        <f t="shared" si="49"/>
        <v>40.788671660512485</v>
      </c>
      <c r="AA190" s="11"/>
      <c r="AB190" s="11"/>
      <c r="AC190" s="11"/>
      <c r="AD190" s="26"/>
    </row>
    <row r="191" spans="1:30" x14ac:dyDescent="0.2">
      <c r="C191" t="s">
        <v>135</v>
      </c>
      <c r="D191">
        <v>24.602699999999999</v>
      </c>
      <c r="E191">
        <v>44.0032</v>
      </c>
      <c r="F191">
        <v>25.799600000000002</v>
      </c>
      <c r="G191">
        <v>24.462700000000002</v>
      </c>
      <c r="H191">
        <f t="shared" si="59"/>
        <v>19.400500000000001</v>
      </c>
      <c r="I191">
        <f t="shared" si="58"/>
        <v>1.196900000000003</v>
      </c>
      <c r="J191" s="13">
        <f t="shared" si="52"/>
        <v>6.1694286229736495</v>
      </c>
      <c r="K191">
        <f t="shared" si="43"/>
        <v>1.3369</v>
      </c>
      <c r="L191" s="13">
        <f t="shared" si="44"/>
        <v>111.69688361600774</v>
      </c>
      <c r="M191" s="11"/>
      <c r="N191" s="11"/>
      <c r="O191" s="31"/>
      <c r="P191" s="31">
        <f t="shared" si="61"/>
        <v>0</v>
      </c>
      <c r="Q191" s="11"/>
      <c r="R191" s="11"/>
      <c r="S191" s="11"/>
      <c r="T191">
        <f t="shared" si="45"/>
        <v>61694.286229736492</v>
      </c>
      <c r="U191">
        <f t="shared" si="46"/>
        <v>68910.595087755457</v>
      </c>
      <c r="V191">
        <f t="shared" si="49"/>
        <v>68.910595087755453</v>
      </c>
      <c r="AA191" s="11"/>
      <c r="AB191" s="11"/>
      <c r="AC191" s="11"/>
      <c r="AD191" s="26"/>
    </row>
    <row r="192" spans="1:30" x14ac:dyDescent="0.2">
      <c r="A192" s="30">
        <v>44463</v>
      </c>
      <c r="B192">
        <v>147</v>
      </c>
      <c r="C192">
        <v>2</v>
      </c>
      <c r="D192">
        <v>36.331499999999998</v>
      </c>
      <c r="E192">
        <v>56.115699999999997</v>
      </c>
      <c r="F192">
        <v>37.270200000000003</v>
      </c>
      <c r="G192">
        <v>36.520099999999999</v>
      </c>
      <c r="H192">
        <f t="shared" si="59"/>
        <v>19.784199999999998</v>
      </c>
      <c r="I192">
        <f t="shared" si="58"/>
        <v>0.93870000000000431</v>
      </c>
      <c r="J192" s="13">
        <f t="shared" si="52"/>
        <v>4.7446952618756599</v>
      </c>
      <c r="K192">
        <f t="shared" si="43"/>
        <v>0.75010000000000332</v>
      </c>
      <c r="L192" s="13">
        <f>(K192/I192)*100</f>
        <v>79.908383935229551</v>
      </c>
      <c r="M192" s="11">
        <f t="shared" si="53"/>
        <v>4.3036521155078722</v>
      </c>
      <c r="N192" s="11">
        <v>4.2816406193624497</v>
      </c>
      <c r="O192" s="31">
        <f t="shared" si="47"/>
        <v>4.2926463674351609</v>
      </c>
      <c r="P192" s="31">
        <f t="shared" si="61"/>
        <v>0.21518260577539361</v>
      </c>
      <c r="Q192" s="11">
        <f>AVERAGE(L192:L194)</f>
        <v>77.279252919374414</v>
      </c>
      <c r="R192" s="11">
        <v>79.632711539890465</v>
      </c>
      <c r="S192" s="11">
        <f t="shared" si="48"/>
        <v>78.45598222963244</v>
      </c>
      <c r="T192">
        <f t="shared" si="45"/>
        <v>47446.952618756601</v>
      </c>
      <c r="U192">
        <f t="shared" si="46"/>
        <v>37914.093064162487</v>
      </c>
      <c r="V192">
        <f t="shared" si="49"/>
        <v>37.914093064162486</v>
      </c>
      <c r="X192">
        <f t="shared" si="57"/>
        <v>33.293942052318641</v>
      </c>
      <c r="Y192">
        <v>34.105819287591274</v>
      </c>
      <c r="Z192">
        <f>AVERAGE(X192,Y192)</f>
        <v>33.699880669954958</v>
      </c>
      <c r="AA192" s="11">
        <f t="shared" si="62"/>
        <v>43036.521155078728</v>
      </c>
      <c r="AB192" s="11">
        <f t="shared" si="51"/>
        <v>43.036521155078731</v>
      </c>
      <c r="AC192" s="11">
        <f>AVERAGE(U192:U194)</f>
        <v>33293.942052318642</v>
      </c>
      <c r="AD192" s="26">
        <f t="shared" si="54"/>
        <v>0.99518445208049355</v>
      </c>
    </row>
    <row r="193" spans="1:30" x14ac:dyDescent="0.2">
      <c r="C193" t="s">
        <v>33</v>
      </c>
      <c r="D193">
        <v>24.438199999999998</v>
      </c>
      <c r="E193">
        <v>46.5929</v>
      </c>
      <c r="F193">
        <v>25.546399999999998</v>
      </c>
      <c r="G193">
        <v>24.708600000000001</v>
      </c>
      <c r="H193">
        <f t="shared" si="59"/>
        <v>22.154700000000002</v>
      </c>
      <c r="I193">
        <f t="shared" si="58"/>
        <v>1.1082000000000001</v>
      </c>
      <c r="J193" s="13">
        <f t="shared" si="52"/>
        <v>5.0020988774390984</v>
      </c>
      <c r="K193">
        <f t="shared" si="43"/>
        <v>0.83779999999999788</v>
      </c>
      <c r="L193" s="13">
        <f t="shared" si="44"/>
        <v>75.600072189135332</v>
      </c>
      <c r="M193" s="11"/>
      <c r="N193" s="11"/>
      <c r="O193" s="31"/>
      <c r="P193" s="31">
        <f t="shared" si="61"/>
        <v>0</v>
      </c>
      <c r="Q193" s="11"/>
      <c r="R193" s="11"/>
      <c r="S193" s="11"/>
      <c r="T193">
        <f t="shared" si="45"/>
        <v>50020.988774390986</v>
      </c>
      <c r="U193">
        <f t="shared" si="46"/>
        <v>37815.903623158869</v>
      </c>
      <c r="V193">
        <f t="shared" si="49"/>
        <v>37.815903623158867</v>
      </c>
      <c r="AA193" s="11"/>
      <c r="AB193" s="11"/>
      <c r="AC193" s="11"/>
      <c r="AD193" s="26"/>
    </row>
    <row r="194" spans="1:30" x14ac:dyDescent="0.2">
      <c r="C194" t="s">
        <v>162</v>
      </c>
      <c r="D194">
        <v>19.992699999999999</v>
      </c>
      <c r="E194">
        <v>39.072000000000003</v>
      </c>
      <c r="F194">
        <v>20.596399999999999</v>
      </c>
      <c r="G194">
        <v>20.1356</v>
      </c>
      <c r="H194">
        <f t="shared" si="59"/>
        <v>19.079300000000003</v>
      </c>
      <c r="I194">
        <f t="shared" si="58"/>
        <v>0.6036999999999999</v>
      </c>
      <c r="J194" s="13">
        <f t="shared" si="52"/>
        <v>3.1641622072088587</v>
      </c>
      <c r="K194">
        <f t="shared" si="43"/>
        <v>0.46079999999999899</v>
      </c>
      <c r="L194" s="13">
        <f t="shared" si="44"/>
        <v>76.329302633758331</v>
      </c>
      <c r="M194" s="11"/>
      <c r="N194" s="11"/>
      <c r="O194" s="31"/>
      <c r="P194" s="31">
        <f t="shared" si="61"/>
        <v>0</v>
      </c>
      <c r="Q194" s="11"/>
      <c r="R194" s="11"/>
      <c r="S194" s="11"/>
      <c r="T194">
        <f t="shared" si="45"/>
        <v>31641.622072088587</v>
      </c>
      <c r="U194">
        <f t="shared" si="46"/>
        <v>24151.829469634573</v>
      </c>
      <c r="V194">
        <f t="shared" si="49"/>
        <v>24.151829469634574</v>
      </c>
      <c r="AA194" s="11"/>
      <c r="AB194" s="11"/>
      <c r="AC194" s="11"/>
      <c r="AD194" s="26"/>
    </row>
    <row r="195" spans="1:30" x14ac:dyDescent="0.2">
      <c r="A195" s="30">
        <v>44466</v>
      </c>
      <c r="B195">
        <v>150</v>
      </c>
      <c r="C195" t="s">
        <v>137</v>
      </c>
      <c r="D195">
        <v>41.499200000000002</v>
      </c>
      <c r="E195">
        <v>62.526699999999998</v>
      </c>
      <c r="F195">
        <v>42.527299999999997</v>
      </c>
      <c r="G195">
        <v>41.719900000000003</v>
      </c>
      <c r="H195">
        <f t="shared" si="59"/>
        <v>21.027499999999996</v>
      </c>
      <c r="I195">
        <f t="shared" si="58"/>
        <v>1.0280999999999949</v>
      </c>
      <c r="J195" s="13">
        <f t="shared" si="52"/>
        <v>4.8893116157412679</v>
      </c>
      <c r="K195">
        <f t="shared" ref="K195:K212" si="63">I195-(G195-D195)</f>
        <v>0.80739999999999412</v>
      </c>
      <c r="L195" s="13">
        <f t="shared" ref="L195:L212" si="64">(K195/I195)*100</f>
        <v>78.533216613169742</v>
      </c>
      <c r="M195" s="11">
        <f t="shared" si="53"/>
        <v>4.4997123609558098</v>
      </c>
      <c r="N195" s="11">
        <v>4.2373369849250748</v>
      </c>
      <c r="O195" s="31">
        <f t="shared" si="47"/>
        <v>4.3685246729404419</v>
      </c>
      <c r="P195" s="31">
        <f t="shared" si="61"/>
        <v>0.22498561804779049</v>
      </c>
      <c r="Q195" s="11">
        <f>AVERAGE(L195:L197)</f>
        <v>76.932253725162568</v>
      </c>
      <c r="R195" s="11">
        <v>81.770386885446783</v>
      </c>
      <c r="S195" s="11">
        <f t="shared" si="48"/>
        <v>79.351320305304682</v>
      </c>
      <c r="T195">
        <f t="shared" ref="T195:T206" si="65">((F195-D195)/(H195))*1000000</f>
        <v>48893.116157412682</v>
      </c>
      <c r="U195">
        <f t="shared" ref="U195:U206" si="66">((F195-G195)/(H195))*1000000</f>
        <v>38397.336820829594</v>
      </c>
      <c r="V195">
        <f t="shared" si="49"/>
        <v>38.397336820829594</v>
      </c>
      <c r="X195">
        <f t="shared" si="57"/>
        <v>34.856236545707524</v>
      </c>
      <c r="Y195">
        <v>34.660666326019857</v>
      </c>
      <c r="Z195">
        <f t="shared" si="50"/>
        <v>34.758451435863691</v>
      </c>
      <c r="AA195" s="11">
        <f t="shared" ref="AA195:AA207" si="67">AVERAGE(T195:T197)</f>
        <v>44997.123609558097</v>
      </c>
      <c r="AB195" s="11">
        <f t="shared" si="51"/>
        <v>44.997123609558095</v>
      </c>
      <c r="AC195" s="11">
        <f>AVERAGE(U195:U197)</f>
        <v>34856.236545707521</v>
      </c>
      <c r="AD195" s="26">
        <f t="shared" si="54"/>
        <v>0.84246367462413307</v>
      </c>
    </row>
    <row r="196" spans="1:30" x14ac:dyDescent="0.2">
      <c r="C196">
        <v>87</v>
      </c>
      <c r="D196">
        <v>22.897300000000001</v>
      </c>
      <c r="E196">
        <v>42.523600000000002</v>
      </c>
      <c r="F196">
        <v>23.893699999999999</v>
      </c>
      <c r="G196">
        <v>23.094899999999999</v>
      </c>
      <c r="H196">
        <f t="shared" si="59"/>
        <v>19.626300000000001</v>
      </c>
      <c r="I196">
        <f t="shared" si="58"/>
        <v>0.99639999999999773</v>
      </c>
      <c r="J196" s="13">
        <f t="shared" si="52"/>
        <v>5.0768611505989298</v>
      </c>
      <c r="K196">
        <f t="shared" si="63"/>
        <v>0.79879999999999995</v>
      </c>
      <c r="L196" s="13">
        <f t="shared" si="64"/>
        <v>80.16860698514671</v>
      </c>
      <c r="M196" s="11"/>
      <c r="N196" s="11"/>
      <c r="O196" s="31"/>
      <c r="P196" s="31">
        <f t="shared" si="61"/>
        <v>0</v>
      </c>
      <c r="Q196" s="11"/>
      <c r="R196" s="11"/>
      <c r="S196" s="11"/>
      <c r="T196">
        <f t="shared" si="65"/>
        <v>50768.611505989298</v>
      </c>
      <c r="U196">
        <f t="shared" si="66"/>
        <v>40700.488630052532</v>
      </c>
      <c r="V196">
        <f t="shared" si="49"/>
        <v>40.700488630052533</v>
      </c>
      <c r="AA196" s="11"/>
      <c r="AB196" s="11"/>
      <c r="AC196" s="11"/>
      <c r="AD196" s="26"/>
    </row>
    <row r="197" spans="1:30" x14ac:dyDescent="0.2">
      <c r="C197" t="s">
        <v>167</v>
      </c>
      <c r="D197">
        <v>25.655000000000001</v>
      </c>
      <c r="E197">
        <v>46.2864</v>
      </c>
      <c r="F197">
        <v>26.383900000000001</v>
      </c>
      <c r="G197">
        <v>25.8584</v>
      </c>
      <c r="H197">
        <f t="shared" si="59"/>
        <v>20.631399999999999</v>
      </c>
      <c r="I197">
        <f t="shared" si="58"/>
        <v>0.72889999999999944</v>
      </c>
      <c r="J197" s="13">
        <f t="shared" si="52"/>
        <v>3.5329643165272326</v>
      </c>
      <c r="K197">
        <f t="shared" si="63"/>
        <v>0.52550000000000097</v>
      </c>
      <c r="L197" s="13">
        <f t="shared" si="64"/>
        <v>72.094937577171265</v>
      </c>
      <c r="M197" s="11"/>
      <c r="N197" s="11"/>
      <c r="O197" s="31"/>
      <c r="P197" s="31">
        <f t="shared" si="61"/>
        <v>0</v>
      </c>
      <c r="Q197" s="11"/>
      <c r="R197" s="11"/>
      <c r="S197" s="11"/>
      <c r="T197">
        <f t="shared" si="65"/>
        <v>35329.643165272326</v>
      </c>
      <c r="U197">
        <f t="shared" si="66"/>
        <v>25470.884186240441</v>
      </c>
      <c r="V197">
        <f t="shared" si="49"/>
        <v>25.47088418624044</v>
      </c>
      <c r="AA197" s="11"/>
      <c r="AB197" s="11"/>
      <c r="AC197" s="11"/>
      <c r="AD197" s="26"/>
    </row>
    <row r="198" spans="1:30" x14ac:dyDescent="0.2">
      <c r="A198" s="30">
        <v>44468</v>
      </c>
      <c r="B198">
        <v>152</v>
      </c>
      <c r="C198" t="s">
        <v>164</v>
      </c>
      <c r="D198">
        <v>22.0396</v>
      </c>
      <c r="E198">
        <v>44.405200000000001</v>
      </c>
      <c r="F198">
        <v>23.130199999999999</v>
      </c>
      <c r="G198">
        <v>22.246099999999998</v>
      </c>
      <c r="H198">
        <f t="shared" si="59"/>
        <v>22.365600000000001</v>
      </c>
      <c r="I198">
        <f t="shared" si="58"/>
        <v>1.0905999999999985</v>
      </c>
      <c r="J198" s="13">
        <f t="shared" si="52"/>
        <v>4.8762385091390286</v>
      </c>
      <c r="K198">
        <f t="shared" si="63"/>
        <v>0.88410000000000011</v>
      </c>
      <c r="L198" s="13">
        <f t="shared" si="64"/>
        <v>81.065468549422462</v>
      </c>
      <c r="M198" s="11">
        <f t="shared" si="53"/>
        <v>4.9130716909017238</v>
      </c>
      <c r="N198" s="11">
        <v>4.5912084851835298</v>
      </c>
      <c r="O198" s="31">
        <f t="shared" ref="O198:O210" si="68">AVERAGE(M198,N198)</f>
        <v>4.7521400880426263</v>
      </c>
      <c r="P198" s="31">
        <f t="shared" si="61"/>
        <v>0.24565358454508618</v>
      </c>
      <c r="Q198" s="11">
        <f>AVERAGE(L198:L200)</f>
        <v>81.074984230212806</v>
      </c>
      <c r="R198" s="11">
        <v>82.517951911606986</v>
      </c>
      <c r="S198" s="11">
        <f t="shared" ref="S198:S204" si="69">AVERAGE(Q198,R198)</f>
        <v>81.796468070909896</v>
      </c>
      <c r="T198">
        <f t="shared" si="65"/>
        <v>48762.385091390286</v>
      </c>
      <c r="U198">
        <f t="shared" si="66"/>
        <v>39529.45595020926</v>
      </c>
      <c r="V198">
        <f t="shared" si="49"/>
        <v>39.529455950209261</v>
      </c>
      <c r="X198">
        <f t="shared" si="57"/>
        <v>39.832465645648881</v>
      </c>
      <c r="Y198">
        <v>37.886672557337413</v>
      </c>
      <c r="Z198">
        <f t="shared" ref="Z198:Z210" si="70">AVERAGE(X198,Y198)</f>
        <v>38.85956910149315</v>
      </c>
      <c r="AA198" s="11">
        <f t="shared" si="67"/>
        <v>49130.716909017239</v>
      </c>
      <c r="AB198" s="11">
        <f t="shared" ref="AB198:AB210" si="71">AA198/1000</f>
        <v>49.130716909017238</v>
      </c>
      <c r="AC198" s="11">
        <f>AVERAGE(U198:U200)</f>
        <v>39832.465645648881</v>
      </c>
      <c r="AD198" s="26">
        <f t="shared" si="54"/>
        <v>3.9010077922414184E-2</v>
      </c>
    </row>
    <row r="199" spans="1:30" x14ac:dyDescent="0.2">
      <c r="C199" t="s">
        <v>163</v>
      </c>
      <c r="D199">
        <v>24.5944</v>
      </c>
      <c r="E199">
        <v>44.738900000000001</v>
      </c>
      <c r="F199">
        <v>25.583300000000001</v>
      </c>
      <c r="G199">
        <v>24.779699999999998</v>
      </c>
      <c r="H199">
        <f t="shared" si="59"/>
        <v>20.144500000000001</v>
      </c>
      <c r="I199">
        <f t="shared" si="58"/>
        <v>0.988900000000001</v>
      </c>
      <c r="J199" s="13">
        <f t="shared" ref="J199:J212" si="72">(I199/H199)*100</f>
        <v>4.9090322420511852</v>
      </c>
      <c r="K199">
        <f t="shared" si="63"/>
        <v>0.80360000000000298</v>
      </c>
      <c r="L199" s="13">
        <f t="shared" si="64"/>
        <v>81.26200829204187</v>
      </c>
      <c r="M199" s="11"/>
      <c r="N199" s="11"/>
      <c r="O199" s="31"/>
      <c r="P199" s="31">
        <f t="shared" si="61"/>
        <v>0</v>
      </c>
      <c r="Q199" s="11"/>
      <c r="R199" s="11"/>
      <c r="S199" s="11"/>
      <c r="T199">
        <f t="shared" si="65"/>
        <v>49090.322420511853</v>
      </c>
      <c r="U199">
        <f t="shared" si="66"/>
        <v>39891.781875946435</v>
      </c>
      <c r="V199">
        <f t="shared" si="49"/>
        <v>39.891781875946435</v>
      </c>
      <c r="AA199" s="11"/>
      <c r="AB199" s="11"/>
      <c r="AC199" s="11"/>
      <c r="AD199" s="26"/>
    </row>
    <row r="200" spans="1:30" x14ac:dyDescent="0.2">
      <c r="C200" t="s">
        <v>135</v>
      </c>
      <c r="D200">
        <v>24.599799999999998</v>
      </c>
      <c r="E200">
        <v>44.032800000000002</v>
      </c>
      <c r="F200">
        <v>25.5625</v>
      </c>
      <c r="G200">
        <v>24.7837</v>
      </c>
      <c r="H200">
        <f t="shared" si="59"/>
        <v>19.433000000000003</v>
      </c>
      <c r="I200">
        <f t="shared" si="58"/>
        <v>0.96270000000000167</v>
      </c>
      <c r="J200" s="13">
        <f t="shared" si="72"/>
        <v>4.9539443215149568</v>
      </c>
      <c r="K200">
        <f t="shared" si="63"/>
        <v>0.77880000000000038</v>
      </c>
      <c r="L200" s="13">
        <f t="shared" si="64"/>
        <v>80.8974758491741</v>
      </c>
      <c r="M200" s="11"/>
      <c r="N200" s="11"/>
      <c r="O200" s="31"/>
      <c r="P200" s="31">
        <f t="shared" ref="P200:P206" si="73">(M200/20)</f>
        <v>0</v>
      </c>
      <c r="Q200" s="11"/>
      <c r="R200" s="11"/>
      <c r="S200" s="11"/>
      <c r="T200">
        <f t="shared" si="65"/>
        <v>49539.443215149564</v>
      </c>
      <c r="U200">
        <f t="shared" si="66"/>
        <v>40076.159110790933</v>
      </c>
      <c r="V200">
        <f t="shared" si="49"/>
        <v>40.076159110790933</v>
      </c>
      <c r="AA200" s="11"/>
      <c r="AB200" s="11"/>
      <c r="AC200" s="11"/>
      <c r="AD200" s="26"/>
    </row>
    <row r="201" spans="1:30" x14ac:dyDescent="0.2">
      <c r="A201" s="30">
        <v>44470</v>
      </c>
      <c r="B201">
        <v>154</v>
      </c>
      <c r="C201">
        <v>2</v>
      </c>
      <c r="D201">
        <v>36.425800000000002</v>
      </c>
      <c r="E201">
        <v>58.7104</v>
      </c>
      <c r="F201">
        <v>37.3001</v>
      </c>
      <c r="G201">
        <v>36.574599999999997</v>
      </c>
      <c r="H201">
        <f t="shared" si="59"/>
        <v>22.284599999999998</v>
      </c>
      <c r="I201">
        <f t="shared" si="58"/>
        <v>0.87429999999999808</v>
      </c>
      <c r="J201" s="13">
        <f t="shared" si="72"/>
        <v>3.9233371925006422</v>
      </c>
      <c r="K201">
        <f t="shared" si="63"/>
        <v>0.72550000000000381</v>
      </c>
      <c r="L201" s="13">
        <f t="shared" si="64"/>
        <v>82.980670250486725</v>
      </c>
      <c r="M201" s="11">
        <f t="shared" ref="M201" si="74">AVERAGE(J201:J203)</f>
        <v>4.4512985263404268</v>
      </c>
      <c r="N201" s="11">
        <v>3.7889901909037889</v>
      </c>
      <c r="O201" s="31">
        <f t="shared" si="68"/>
        <v>4.1201443586221078</v>
      </c>
      <c r="P201" s="31">
        <f t="shared" si="73"/>
        <v>0.22256492631702135</v>
      </c>
      <c r="Q201" s="11">
        <f>AVERAGE(L201:L203)</f>
        <v>77.083918795577844</v>
      </c>
      <c r="R201" s="11">
        <v>71.161701034464116</v>
      </c>
      <c r="S201" s="11">
        <f t="shared" si="69"/>
        <v>74.12280991502098</v>
      </c>
      <c r="T201">
        <f t="shared" si="65"/>
        <v>39233.371925006424</v>
      </c>
      <c r="U201">
        <f t="shared" si="66"/>
        <v>32556.114985236618</v>
      </c>
      <c r="V201">
        <f t="shared" si="49"/>
        <v>32.556114985236619</v>
      </c>
      <c r="X201">
        <f t="shared" si="57"/>
        <v>34.162066485289053</v>
      </c>
      <c r="Y201">
        <v>26.98020086465651</v>
      </c>
      <c r="Z201">
        <f t="shared" si="70"/>
        <v>30.571133674972781</v>
      </c>
      <c r="AA201" s="11">
        <f t="shared" si="67"/>
        <v>44512.985263404262</v>
      </c>
      <c r="AB201" s="11">
        <f t="shared" si="71"/>
        <v>44.512985263404261</v>
      </c>
      <c r="AC201" s="11">
        <f>AVERAGE(U201:U203)</f>
        <v>34162.066485289055</v>
      </c>
      <c r="AD201" s="26">
        <f t="shared" ref="AD201:AD210" si="75">_xlfn.STDEV.S(J201:J203)</f>
        <v>0.48829533775330197</v>
      </c>
    </row>
    <row r="202" spans="1:30" x14ac:dyDescent="0.2">
      <c r="C202" t="s">
        <v>85</v>
      </c>
      <c r="D202">
        <v>38.849800000000002</v>
      </c>
      <c r="E202">
        <v>60.610900000000001</v>
      </c>
      <c r="F202">
        <v>39.8386</v>
      </c>
      <c r="G202">
        <v>39.110199999999999</v>
      </c>
      <c r="H202">
        <f t="shared" si="59"/>
        <v>21.761099999999999</v>
      </c>
      <c r="I202">
        <f t="shared" si="58"/>
        <v>0.98879999999999768</v>
      </c>
      <c r="J202" s="13">
        <f t="shared" si="72"/>
        <v>4.5438879468409121</v>
      </c>
      <c r="K202">
        <f t="shared" si="63"/>
        <v>0.7284000000000006</v>
      </c>
      <c r="L202" s="13">
        <f t="shared" si="64"/>
        <v>73.665048543689551</v>
      </c>
      <c r="M202" s="11"/>
      <c r="N202" s="11"/>
      <c r="O202" s="31"/>
      <c r="P202" s="31">
        <f t="shared" si="73"/>
        <v>0</v>
      </c>
      <c r="Q202" s="11"/>
      <c r="R202" s="11"/>
      <c r="S202" s="11"/>
      <c r="T202">
        <f t="shared" si="65"/>
        <v>45438.879468409119</v>
      </c>
      <c r="U202">
        <f t="shared" si="66"/>
        <v>33472.572618112164</v>
      </c>
      <c r="V202">
        <f t="shared" si="49"/>
        <v>33.472572618112167</v>
      </c>
      <c r="AA202" s="11"/>
      <c r="AB202" s="11"/>
      <c r="AC202" s="11"/>
      <c r="AD202" s="26"/>
    </row>
    <row r="203" spans="1:30" x14ac:dyDescent="0.2">
      <c r="C203">
        <v>87</v>
      </c>
      <c r="D203">
        <v>22.904299999999999</v>
      </c>
      <c r="E203">
        <v>44.460900000000002</v>
      </c>
      <c r="F203">
        <v>23.957699999999999</v>
      </c>
      <c r="G203">
        <v>23.171800000000001</v>
      </c>
      <c r="H203">
        <f t="shared" si="59"/>
        <v>21.556600000000003</v>
      </c>
      <c r="I203">
        <f t="shared" si="58"/>
        <v>1.0533999999999999</v>
      </c>
      <c r="J203" s="13">
        <f t="shared" si="72"/>
        <v>4.886670439679726</v>
      </c>
      <c r="K203">
        <f t="shared" si="63"/>
        <v>0.78589999999999804</v>
      </c>
      <c r="L203" s="13">
        <f t="shared" si="64"/>
        <v>74.606037592557257</v>
      </c>
      <c r="M203" s="11"/>
      <c r="N203" s="11"/>
      <c r="O203" s="31"/>
      <c r="P203" s="31">
        <f t="shared" si="73"/>
        <v>0</v>
      </c>
      <c r="Q203" s="11"/>
      <c r="R203" s="11"/>
      <c r="S203" s="11"/>
      <c r="T203">
        <f t="shared" si="65"/>
        <v>48866.704396797257</v>
      </c>
      <c r="U203">
        <f t="shared" si="66"/>
        <v>36457.511852518386</v>
      </c>
      <c r="V203">
        <f t="shared" si="49"/>
        <v>36.457511852518387</v>
      </c>
      <c r="AA203" s="11"/>
      <c r="AB203" s="11"/>
      <c r="AC203" s="11"/>
      <c r="AD203" s="26"/>
    </row>
    <row r="204" spans="1:30" x14ac:dyDescent="0.2">
      <c r="A204" s="30">
        <v>44473</v>
      </c>
      <c r="B204">
        <v>157</v>
      </c>
      <c r="C204" t="s">
        <v>137</v>
      </c>
      <c r="D204">
        <v>41.509</v>
      </c>
      <c r="E204">
        <v>62.609400000000001</v>
      </c>
      <c r="F204">
        <v>42.494799999999998</v>
      </c>
      <c r="G204">
        <v>41.753</v>
      </c>
      <c r="H204">
        <f t="shared" si="59"/>
        <v>21.1004</v>
      </c>
      <c r="I204">
        <f t="shared" si="58"/>
        <v>0.98579999999999757</v>
      </c>
      <c r="J204" s="13">
        <f t="shared" si="72"/>
        <v>4.6719493469318003</v>
      </c>
      <c r="K204">
        <f t="shared" si="63"/>
        <v>0.74179999999999779</v>
      </c>
      <c r="L204" s="13">
        <f t="shared" si="64"/>
        <v>75.248529113410385</v>
      </c>
      <c r="M204" s="11">
        <f>AVERAGE(J204:J206)</f>
        <v>5.2593891512700059</v>
      </c>
      <c r="N204" s="11">
        <v>6.1935697224864983</v>
      </c>
      <c r="O204" s="31">
        <f>AVERAGE(M204,N204)</f>
        <v>5.7264794368782521</v>
      </c>
      <c r="P204" s="31">
        <f t="shared" si="73"/>
        <v>0.26296945756350032</v>
      </c>
      <c r="Q204" s="11">
        <f>AVERAGE(L204:L206)</f>
        <v>46.848252269329784</v>
      </c>
      <c r="R204" s="11">
        <v>61.548838612209885</v>
      </c>
      <c r="S204" s="11">
        <f t="shared" si="69"/>
        <v>54.198545440769834</v>
      </c>
      <c r="T204">
        <f t="shared" si="65"/>
        <v>46719.493469318004</v>
      </c>
      <c r="U204">
        <f t="shared" si="66"/>
        <v>35155.731644897627</v>
      </c>
      <c r="V204">
        <f t="shared" si="49"/>
        <v>35.155731644897628</v>
      </c>
      <c r="X204">
        <f t="shared" ref="X204:X209" si="76">(AVERAGE(V204:V206))</f>
        <v>25.631648085237217</v>
      </c>
      <c r="Y204">
        <v>33.560264624034836</v>
      </c>
      <c r="Z204">
        <f t="shared" si="70"/>
        <v>29.595956354636026</v>
      </c>
      <c r="AA204" s="11">
        <f t="shared" si="67"/>
        <v>52593.891512700066</v>
      </c>
      <c r="AB204" s="11">
        <f t="shared" si="71"/>
        <v>52.593891512700068</v>
      </c>
      <c r="AC204" s="11">
        <f>AVERAGE(U204:U206)</f>
        <v>25631.648085237219</v>
      </c>
      <c r="AD204" s="26">
        <f>_xlfn.STDEV.S(J204:J206)</f>
        <v>3.87286334474534</v>
      </c>
    </row>
    <row r="205" spans="1:30" x14ac:dyDescent="0.2">
      <c r="C205" t="s">
        <v>166</v>
      </c>
      <c r="D205">
        <v>27.5352</v>
      </c>
      <c r="E205">
        <v>49.932000000000002</v>
      </c>
      <c r="F205">
        <v>29.6388</v>
      </c>
      <c r="G205">
        <v>28.8019</v>
      </c>
      <c r="H205">
        <f>(E205-D205)</f>
        <v>22.396800000000002</v>
      </c>
      <c r="I205">
        <f>(F205-D205)</f>
        <v>2.1036000000000001</v>
      </c>
      <c r="J205" s="13">
        <f t="shared" si="72"/>
        <v>9.3924132018859829</v>
      </c>
      <c r="K205">
        <f t="shared" si="63"/>
        <v>0.83689999999999998</v>
      </c>
      <c r="L205" s="13">
        <f>(K205/I205)*100</f>
        <v>39.78417950180642</v>
      </c>
      <c r="M205" s="11"/>
      <c r="N205" s="11"/>
      <c r="O205" s="31"/>
      <c r="P205" s="31">
        <f t="shared" si="73"/>
        <v>0</v>
      </c>
      <c r="Q205" s="11"/>
      <c r="R205" s="11"/>
      <c r="S205" s="11"/>
      <c r="T205">
        <f t="shared" si="65"/>
        <v>93924.132018859833</v>
      </c>
      <c r="U205">
        <f t="shared" si="66"/>
        <v>37366.945277896833</v>
      </c>
      <c r="V205">
        <f t="shared" si="49"/>
        <v>37.366945277896832</v>
      </c>
      <c r="AA205" s="11"/>
      <c r="AB205" s="11"/>
      <c r="AC205" s="11"/>
      <c r="AD205" s="26"/>
    </row>
    <row r="206" spans="1:30" x14ac:dyDescent="0.2">
      <c r="C206" t="s">
        <v>142</v>
      </c>
      <c r="D206">
        <v>43.686900000000001</v>
      </c>
      <c r="E206">
        <v>63.058999999999997</v>
      </c>
      <c r="F206">
        <v>44.018900000000002</v>
      </c>
      <c r="G206">
        <v>43.934199999999997</v>
      </c>
      <c r="H206">
        <f t="shared" si="59"/>
        <v>19.372099999999996</v>
      </c>
      <c r="I206">
        <f>(F206-D206)</f>
        <v>0.33200000000000074</v>
      </c>
      <c r="J206" s="13">
        <f>(I206/H206)*100</f>
        <v>1.7138049049922353</v>
      </c>
      <c r="K206">
        <f t="shared" si="63"/>
        <v>8.4700000000005105E-2</v>
      </c>
      <c r="L206" s="13">
        <f t="shared" si="64"/>
        <v>25.512048192772564</v>
      </c>
      <c r="M206" s="11"/>
      <c r="N206" s="11"/>
      <c r="O206" s="31"/>
      <c r="P206" s="31">
        <f t="shared" si="73"/>
        <v>0</v>
      </c>
      <c r="Q206" s="11"/>
      <c r="R206" s="11"/>
      <c r="S206" s="11"/>
      <c r="T206">
        <f t="shared" si="65"/>
        <v>17138.049049922352</v>
      </c>
      <c r="U206">
        <f t="shared" si="66"/>
        <v>4372.2673329171912</v>
      </c>
      <c r="V206">
        <f t="shared" si="49"/>
        <v>4.3722673329171915</v>
      </c>
      <c r="AA206" s="11"/>
      <c r="AB206" s="11"/>
      <c r="AC206" s="11"/>
      <c r="AD206" s="26"/>
    </row>
    <row r="207" spans="1:30" x14ac:dyDescent="0.2">
      <c r="A207" s="30">
        <v>44475</v>
      </c>
      <c r="B207">
        <v>159</v>
      </c>
      <c r="C207" t="s">
        <v>135</v>
      </c>
      <c r="D207">
        <v>20.9953</v>
      </c>
      <c r="E207">
        <v>41.546399999999998</v>
      </c>
      <c r="F207">
        <v>21.6509</v>
      </c>
      <c r="G207">
        <v>20.825399999999998</v>
      </c>
      <c r="H207">
        <f t="shared" si="59"/>
        <v>20.551099999999998</v>
      </c>
      <c r="I207">
        <f t="shared" si="58"/>
        <v>0.65559999999999974</v>
      </c>
      <c r="J207" s="13">
        <f>(I207/H207)*100</f>
        <v>3.1900968804589529</v>
      </c>
      <c r="K207">
        <f t="shared" si="63"/>
        <v>0.82550000000000168</v>
      </c>
      <c r="L207" s="13">
        <f t="shared" si="64"/>
        <v>125.91519219036029</v>
      </c>
      <c r="M207" s="11">
        <f>AVERAGE(J207:J209)</f>
        <v>3.8470671705273745</v>
      </c>
      <c r="N207" s="11">
        <v>3.9149924247071031</v>
      </c>
      <c r="O207" s="31">
        <f t="shared" si="68"/>
        <v>3.8810297976172388</v>
      </c>
      <c r="P207" s="31">
        <f t="shared" ref="P207" si="77">(M207/20)</f>
        <v>0.19235335852636873</v>
      </c>
      <c r="Q207" s="11">
        <f>AVERAGE(L207:L209)</f>
        <v>88.547028714695003</v>
      </c>
      <c r="R207" s="11">
        <v>68.346640599786042</v>
      </c>
      <c r="S207" s="11">
        <f>AVERAGE(Q207,R207)</f>
        <v>78.446834657240515</v>
      </c>
      <c r="T207">
        <f t="shared" ref="T207:T212" si="78">((F207-D207)/(H207))*1000000</f>
        <v>31900.968804589527</v>
      </c>
      <c r="U207">
        <f t="shared" ref="U207:U212" si="79">((F207-G207)/(H207))*1000000</f>
        <v>40168.166180885775</v>
      </c>
      <c r="V207">
        <f t="shared" si="49"/>
        <v>40.168166180885777</v>
      </c>
      <c r="X207">
        <f t="shared" si="76"/>
        <v>32.979090212205364</v>
      </c>
      <c r="Y207">
        <v>14.696531130295089</v>
      </c>
      <c r="Z207">
        <f t="shared" si="70"/>
        <v>23.837810671250224</v>
      </c>
      <c r="AA207" s="11">
        <f t="shared" si="67"/>
        <v>38470.671705273744</v>
      </c>
      <c r="AB207" s="11">
        <f t="shared" si="71"/>
        <v>38.470671705273745</v>
      </c>
      <c r="AC207" s="11">
        <f>AVERAGE(U207:U209)</f>
        <v>32979.090212205367</v>
      </c>
      <c r="AD207" s="26">
        <f t="shared" si="75"/>
        <v>0.85578703350190488</v>
      </c>
    </row>
    <row r="208" spans="1:30" x14ac:dyDescent="0.2">
      <c r="C208">
        <v>25</v>
      </c>
      <c r="D208">
        <v>25.6965</v>
      </c>
      <c r="E208">
        <v>46.051200000000001</v>
      </c>
      <c r="F208">
        <v>26.4163</v>
      </c>
      <c r="G208">
        <v>25.9374</v>
      </c>
      <c r="H208">
        <f t="shared" si="59"/>
        <v>20.354700000000001</v>
      </c>
      <c r="I208">
        <f t="shared" si="58"/>
        <v>0.71979999999999933</v>
      </c>
      <c r="J208" s="13">
        <f t="shared" si="72"/>
        <v>3.5362840032031877</v>
      </c>
      <c r="K208">
        <f t="shared" si="63"/>
        <v>0.47889999999999944</v>
      </c>
      <c r="L208" s="13">
        <f t="shared" si="64"/>
        <v>66.532370102806311</v>
      </c>
      <c r="M208" s="11"/>
      <c r="N208" s="11"/>
      <c r="O208" s="31"/>
      <c r="Q208" s="11"/>
      <c r="R208" s="11"/>
      <c r="S208" s="11"/>
      <c r="T208">
        <f t="shared" si="78"/>
        <v>35362.840032031876</v>
      </c>
      <c r="U208">
        <f t="shared" si="79"/>
        <v>23527.735608974803</v>
      </c>
      <c r="V208">
        <f t="shared" si="49"/>
        <v>23.527735608974801</v>
      </c>
      <c r="X208">
        <f t="shared" si="76"/>
        <v>38.076322969719747</v>
      </c>
      <c r="Y208">
        <v>14.696531130295089</v>
      </c>
      <c r="Z208">
        <f t="shared" si="70"/>
        <v>26.38642705000742</v>
      </c>
      <c r="AA208" s="11"/>
      <c r="AB208" s="11"/>
      <c r="AC208" s="11"/>
      <c r="AD208" s="26"/>
    </row>
    <row r="209" spans="1:30" x14ac:dyDescent="0.2">
      <c r="C209">
        <v>6</v>
      </c>
      <c r="D209">
        <v>21.150300000000001</v>
      </c>
      <c r="E209">
        <v>40.264200000000002</v>
      </c>
      <c r="F209">
        <v>22.070599999999999</v>
      </c>
      <c r="G209">
        <v>21.396999999999998</v>
      </c>
      <c r="H209">
        <f t="shared" si="59"/>
        <v>19.113900000000001</v>
      </c>
      <c r="I209">
        <f t="shared" si="58"/>
        <v>0.92029999999999745</v>
      </c>
      <c r="J209" s="13">
        <f t="shared" si="72"/>
        <v>4.8148206279199819</v>
      </c>
      <c r="K209">
        <f t="shared" si="63"/>
        <v>0.67360000000000042</v>
      </c>
      <c r="L209" s="13">
        <f t="shared" si="64"/>
        <v>73.193523850918425</v>
      </c>
      <c r="M209" s="11"/>
      <c r="N209" s="11"/>
      <c r="O209" s="31"/>
      <c r="Q209" s="11"/>
      <c r="R209" s="11"/>
      <c r="S209" s="11"/>
      <c r="T209">
        <f t="shared" si="78"/>
        <v>48148.206279199818</v>
      </c>
      <c r="U209">
        <f t="shared" si="79"/>
        <v>35241.368846755518</v>
      </c>
      <c r="V209">
        <f t="shared" si="49"/>
        <v>35.24136884675552</v>
      </c>
      <c r="X209">
        <f t="shared" si="76"/>
        <v>48.210419977619466</v>
      </c>
      <c r="Y209">
        <v>14.696531130295089</v>
      </c>
      <c r="Z209">
        <f t="shared" si="70"/>
        <v>31.453475553957276</v>
      </c>
      <c r="AA209" s="11"/>
      <c r="AB209" s="11"/>
      <c r="AC209" s="11"/>
      <c r="AD209" s="26"/>
    </row>
    <row r="210" spans="1:30" x14ac:dyDescent="0.2">
      <c r="A210" t="s">
        <v>138</v>
      </c>
      <c r="C210" t="s">
        <v>207</v>
      </c>
      <c r="D210">
        <v>18.862500000000001</v>
      </c>
      <c r="E210">
        <v>41.098399999999998</v>
      </c>
      <c r="F210">
        <v>20.257400000000001</v>
      </c>
      <c r="G210">
        <v>19.0242</v>
      </c>
      <c r="H210">
        <f t="shared" si="59"/>
        <v>22.235899999999997</v>
      </c>
      <c r="I210">
        <f t="shared" ref="I210:I212" si="80">(F210-D210)</f>
        <v>1.3948999999999998</v>
      </c>
      <c r="J210" s="13">
        <f t="shared" si="72"/>
        <v>6.2731888522614323</v>
      </c>
      <c r="K210">
        <f t="shared" si="63"/>
        <v>1.2332000000000001</v>
      </c>
      <c r="L210" s="13">
        <f t="shared" si="64"/>
        <v>88.407771166391868</v>
      </c>
      <c r="M210" s="11">
        <f>AVERAGE(J210:J212)</f>
        <v>6.2534073971856117</v>
      </c>
      <c r="N210" s="11">
        <v>3.9149924247071</v>
      </c>
      <c r="O210" s="31">
        <f t="shared" si="68"/>
        <v>5.0841999109463556</v>
      </c>
      <c r="Q210" s="11">
        <f t="shared" ref="Q210" si="81">AVERAGE(L210:L212)</f>
        <v>88.32663711726066</v>
      </c>
      <c r="R210" s="11">
        <v>68.346640599786042</v>
      </c>
      <c r="S210" s="11">
        <f>AVERAGE(Q210,R210)</f>
        <v>78.336638858523344</v>
      </c>
      <c r="T210">
        <f t="shared" si="78"/>
        <v>62731.888522614325</v>
      </c>
      <c r="U210">
        <f t="shared" si="79"/>
        <v>55459.864453428927</v>
      </c>
      <c r="V210">
        <f t="shared" si="49"/>
        <v>55.459864453428928</v>
      </c>
      <c r="X210">
        <f>(AVERAGE(V210:V212))</f>
        <v>55.236247871949665</v>
      </c>
      <c r="Y210">
        <v>14.696531130295089</v>
      </c>
      <c r="Z210">
        <f t="shared" si="70"/>
        <v>34.966389501122379</v>
      </c>
      <c r="AA210" s="11">
        <f>AVERAGE(T210:T212)</f>
        <v>62534.073971856116</v>
      </c>
      <c r="AB210" s="11">
        <f t="shared" si="71"/>
        <v>62.534073971856117</v>
      </c>
      <c r="AC210" s="11">
        <f>AVERAGE(U210:U212)</f>
        <v>55236.247871949658</v>
      </c>
      <c r="AD210" s="26">
        <f t="shared" si="75"/>
        <v>0.11923871283791197</v>
      </c>
    </row>
    <row r="211" spans="1:30" x14ac:dyDescent="0.2">
      <c r="C211">
        <v>100</v>
      </c>
      <c r="D211">
        <v>25.641100000000002</v>
      </c>
      <c r="E211">
        <v>47.6066</v>
      </c>
      <c r="F211">
        <v>26.986599999999999</v>
      </c>
      <c r="G211">
        <v>25.802</v>
      </c>
      <c r="H211">
        <f t="shared" si="59"/>
        <v>21.965499999999999</v>
      </c>
      <c r="I211">
        <f t="shared" si="80"/>
        <v>1.3454999999999977</v>
      </c>
      <c r="J211" s="13">
        <f t="shared" si="72"/>
        <v>6.1255150121781785</v>
      </c>
      <c r="K211">
        <f t="shared" si="63"/>
        <v>1.1845999999999997</v>
      </c>
      <c r="L211" s="13">
        <f t="shared" si="64"/>
        <v>88.041620215533385</v>
      </c>
      <c r="M211" s="11"/>
      <c r="T211">
        <f t="shared" si="78"/>
        <v>61255.150121781786</v>
      </c>
      <c r="U211">
        <f t="shared" si="79"/>
        <v>53930.026632673951</v>
      </c>
      <c r="V211">
        <f t="shared" si="49"/>
        <v>53.93002663267395</v>
      </c>
    </row>
    <row r="212" spans="1:30" x14ac:dyDescent="0.2">
      <c r="C212" t="s">
        <v>208</v>
      </c>
      <c r="D212">
        <v>20.599</v>
      </c>
      <c r="E212">
        <v>41.458799999999997</v>
      </c>
      <c r="F212">
        <v>21.925999999999998</v>
      </c>
      <c r="G212">
        <v>20.751200000000001</v>
      </c>
      <c r="H212">
        <f t="shared" si="59"/>
        <v>20.859799999999996</v>
      </c>
      <c r="I212">
        <f t="shared" si="80"/>
        <v>1.3269999999999982</v>
      </c>
      <c r="J212" s="13">
        <f t="shared" si="72"/>
        <v>6.3615183271172233</v>
      </c>
      <c r="K212">
        <f t="shared" si="63"/>
        <v>1.1747999999999976</v>
      </c>
      <c r="L212" s="13">
        <f t="shared" si="64"/>
        <v>88.530519969856755</v>
      </c>
      <c r="M212" s="11"/>
      <c r="T212">
        <f t="shared" si="78"/>
        <v>63615.183271172231</v>
      </c>
      <c r="U212">
        <f t="shared" si="79"/>
        <v>56318.852529746102</v>
      </c>
      <c r="V212">
        <f t="shared" si="49"/>
        <v>56.318852529746103</v>
      </c>
    </row>
  </sheetData>
  <mergeCells count="21">
    <mergeCell ref="AD1:AD2"/>
    <mergeCell ref="AE1:AE2"/>
    <mergeCell ref="AF1:AF2"/>
    <mergeCell ref="M1:M2"/>
    <mergeCell ref="Q1:Q2"/>
    <mergeCell ref="T1:T2"/>
    <mergeCell ref="U1:U2"/>
    <mergeCell ref="AA1:AA2"/>
    <mergeCell ref="AC1:AC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29"/>
  <sheetViews>
    <sheetView zoomScale="70" zoomScaleNormal="70" workbookViewId="0">
      <selection sqref="A1:XFD1048576"/>
    </sheetView>
  </sheetViews>
  <sheetFormatPr baseColWidth="10" defaultRowHeight="21" x14ac:dyDescent="0.25"/>
  <cols>
    <col min="1" max="1" width="12" style="89" bestFit="1" customWidth="1"/>
    <col min="2" max="2" width="5.83203125" style="89" bestFit="1" customWidth="1"/>
    <col min="3" max="3" width="11.6640625" style="89" bestFit="1" customWidth="1"/>
    <col min="4" max="4" width="21.83203125" style="89" bestFit="1" customWidth="1"/>
    <col min="5" max="5" width="12.83203125" style="89" bestFit="1" customWidth="1"/>
    <col min="6" max="6" width="20.1640625" style="89" bestFit="1" customWidth="1"/>
    <col min="7" max="7" width="19.6640625" style="89" bestFit="1" customWidth="1"/>
    <col min="8" max="8" width="19.1640625" style="89" bestFit="1" customWidth="1"/>
    <col min="9" max="9" width="13.6640625" style="89" bestFit="1" customWidth="1"/>
    <col min="10" max="10" width="6.6640625" style="89" bestFit="1" customWidth="1"/>
    <col min="11" max="11" width="24.6640625" style="89" bestFit="1" customWidth="1"/>
    <col min="12" max="12" width="9.5" style="89" bestFit="1" customWidth="1"/>
    <col min="13" max="13" width="19.33203125" style="89" bestFit="1" customWidth="1"/>
    <col min="14" max="14" width="19.5" style="89" bestFit="1" customWidth="1"/>
    <col min="15" max="15" width="17.5" style="89" bestFit="1" customWidth="1"/>
    <col min="16" max="16" width="18.33203125" style="89" bestFit="1" customWidth="1"/>
    <col min="17" max="17" width="25.6640625" style="89" bestFit="1" customWidth="1"/>
    <col min="18" max="18" width="33.1640625" style="89" bestFit="1" customWidth="1"/>
    <col min="19" max="19" width="8" style="89" bestFit="1" customWidth="1"/>
    <col min="20" max="20" width="25" style="89" bestFit="1" customWidth="1"/>
    <col min="21" max="21" width="25.1640625" style="89" bestFit="1" customWidth="1"/>
    <col min="22" max="22" width="30.6640625" style="89" bestFit="1" customWidth="1"/>
    <col min="23" max="23" width="17.5" style="89" bestFit="1" customWidth="1"/>
    <col min="24" max="16384" width="10.83203125" style="89"/>
  </cols>
  <sheetData>
    <row r="1" spans="1:23" x14ac:dyDescent="0.25">
      <c r="A1" s="107" t="s">
        <v>15</v>
      </c>
      <c r="B1" s="107" t="s">
        <v>57</v>
      </c>
      <c r="C1" s="108" t="s">
        <v>16</v>
      </c>
      <c r="D1" s="108" t="s">
        <v>17</v>
      </c>
      <c r="E1" s="109" t="s">
        <v>18</v>
      </c>
      <c r="F1" s="108" t="s">
        <v>19</v>
      </c>
      <c r="G1" s="108" t="s">
        <v>20</v>
      </c>
      <c r="H1" s="108" t="s">
        <v>21</v>
      </c>
      <c r="I1" s="108" t="s">
        <v>22</v>
      </c>
      <c r="J1" s="110" t="s">
        <v>23</v>
      </c>
      <c r="K1" s="108" t="s">
        <v>24</v>
      </c>
      <c r="L1" s="110" t="s">
        <v>25</v>
      </c>
      <c r="M1" s="111" t="s">
        <v>26</v>
      </c>
      <c r="N1" s="111" t="s">
        <v>27</v>
      </c>
      <c r="O1" s="111" t="s">
        <v>68</v>
      </c>
      <c r="P1" s="111" t="s">
        <v>69</v>
      </c>
      <c r="Q1" s="111" t="s">
        <v>71</v>
      </c>
      <c r="R1" s="111" t="s">
        <v>72</v>
      </c>
      <c r="S1" s="112"/>
      <c r="T1" s="110" t="s">
        <v>73</v>
      </c>
      <c r="U1" s="110" t="s">
        <v>74</v>
      </c>
      <c r="V1" s="110" t="s">
        <v>75</v>
      </c>
    </row>
    <row r="2" spans="1:23" x14ac:dyDescent="0.25">
      <c r="A2" s="107"/>
      <c r="B2" s="107"/>
      <c r="C2" s="108"/>
      <c r="D2" s="108"/>
      <c r="E2" s="109"/>
      <c r="F2" s="108"/>
      <c r="G2" s="108"/>
      <c r="H2" s="108"/>
      <c r="I2" s="108"/>
      <c r="J2" s="110"/>
      <c r="K2" s="108"/>
      <c r="L2" s="110"/>
      <c r="M2" s="111"/>
      <c r="N2" s="111"/>
      <c r="O2" s="111"/>
      <c r="P2" s="111"/>
      <c r="Q2" s="111"/>
      <c r="R2" s="111"/>
      <c r="S2" s="112"/>
      <c r="T2" s="110"/>
      <c r="U2" s="110"/>
      <c r="V2" s="110"/>
    </row>
    <row r="3" spans="1:23" x14ac:dyDescent="0.25">
      <c r="A3" s="94">
        <v>44286</v>
      </c>
      <c r="B3" s="89">
        <v>0</v>
      </c>
      <c r="C3" s="89" t="s">
        <v>89</v>
      </c>
      <c r="D3" s="89">
        <v>22.8886</v>
      </c>
      <c r="E3" s="89">
        <v>45.526499999999999</v>
      </c>
      <c r="F3" s="89">
        <v>24.493300000000001</v>
      </c>
      <c r="G3" s="89">
        <v>23.378</v>
      </c>
      <c r="H3" s="89">
        <f t="shared" ref="H3:H91" si="0">(E3-D3)</f>
        <v>22.637899999999998</v>
      </c>
      <c r="I3" s="89">
        <f t="shared" ref="I3:I91" si="1">(F3-D3)</f>
        <v>1.6047000000000011</v>
      </c>
      <c r="J3" s="101">
        <f t="shared" ref="J3:J91" si="2">(I3/H3)*100</f>
        <v>7.0885550338149788</v>
      </c>
      <c r="K3" s="89">
        <f t="shared" ref="K3:K66" si="3">I3-(G3-D3)</f>
        <v>1.1153000000000013</v>
      </c>
      <c r="L3" s="101">
        <f t="shared" ref="L3:L61" si="4">(K3/I3)*100</f>
        <v>69.50208761762326</v>
      </c>
      <c r="M3" s="113">
        <f>AVERAGE(J3:J5)</f>
        <v>7.0177174732424517</v>
      </c>
      <c r="N3" s="114">
        <f>AVERAGE(L3:L5)</f>
        <v>69.816660696086089</v>
      </c>
      <c r="O3" s="89">
        <f t="shared" ref="O3:O84" si="5">((F3-D3)/(H3))*1000000</f>
        <v>70885.550338149798</v>
      </c>
      <c r="P3" s="89">
        <f t="shared" ref="P3:P61" si="6">((F3-G3)/(H3))*1000000</f>
        <v>49266.937304255312</v>
      </c>
      <c r="Q3" s="114">
        <f>AVERAGE(O3:O5)</f>
        <v>70177.174732424508</v>
      </c>
      <c r="R3" s="114">
        <f>AVERAGE(P3:P5)</f>
        <v>48998.088887995757</v>
      </c>
      <c r="S3" s="114">
        <f>((R3*1)/1000)</f>
        <v>48.998088887995756</v>
      </c>
      <c r="T3" s="115">
        <f>_xlfn.STDEV.S(J3:J5)</f>
        <v>7.0272427699718698E-2</v>
      </c>
      <c r="U3" s="115">
        <f>_xlfn.STDEV.S(L3:L5)</f>
        <v>1.7038243102141974</v>
      </c>
      <c r="V3" s="115">
        <f>_xlfn.STDEV.S(P3:P5)/1000</f>
        <v>1.4332260872871534</v>
      </c>
      <c r="W3" s="89">
        <f>((V3*'ST Y SV REACTOR 2'!T1:T21)/1000)</f>
        <v>1.0071627659623721E-4</v>
      </c>
    </row>
    <row r="4" spans="1:23" x14ac:dyDescent="0.25">
      <c r="C4" s="116" t="s">
        <v>35</v>
      </c>
      <c r="D4" s="89">
        <v>25.5181</v>
      </c>
      <c r="E4" s="89">
        <v>47.478299999999997</v>
      </c>
      <c r="F4" s="89">
        <v>27.043900000000001</v>
      </c>
      <c r="G4" s="89">
        <v>26.001899999999999</v>
      </c>
      <c r="H4" s="89">
        <f t="shared" si="0"/>
        <v>21.960199999999997</v>
      </c>
      <c r="I4" s="89">
        <f t="shared" si="1"/>
        <v>1.5258000000000003</v>
      </c>
      <c r="J4" s="101">
        <f t="shared" si="2"/>
        <v>6.9480241527854965</v>
      </c>
      <c r="K4" s="89">
        <f t="shared" si="3"/>
        <v>1.0420000000000016</v>
      </c>
      <c r="L4" s="101">
        <f t="shared" si="4"/>
        <v>68.2920435181545</v>
      </c>
      <c r="M4" s="101"/>
      <c r="O4" s="89">
        <f t="shared" si="5"/>
        <v>69480.24152785496</v>
      </c>
      <c r="P4" s="89">
        <f t="shared" si="6"/>
        <v>47449.476780721569</v>
      </c>
      <c r="Q4" s="101"/>
      <c r="R4" s="115">
        <f>R3/1000</f>
        <v>48.998088887995756</v>
      </c>
      <c r="S4" s="114"/>
      <c r="T4" s="115"/>
      <c r="U4" s="115"/>
      <c r="V4" s="115"/>
    </row>
    <row r="5" spans="1:23" x14ac:dyDescent="0.25">
      <c r="C5" s="89" t="s">
        <v>80</v>
      </c>
      <c r="D5" s="89">
        <v>26.2578</v>
      </c>
      <c r="E5" s="89">
        <v>46.682299999999998</v>
      </c>
      <c r="F5" s="89">
        <v>27.690899999999999</v>
      </c>
      <c r="G5" s="89">
        <v>26.664000000000001</v>
      </c>
      <c r="H5" s="89">
        <f t="shared" si="0"/>
        <v>20.424499999999998</v>
      </c>
      <c r="I5" s="89">
        <f t="shared" si="1"/>
        <v>1.4330999999999996</v>
      </c>
      <c r="J5" s="101">
        <f t="shared" si="2"/>
        <v>7.0165732331268797</v>
      </c>
      <c r="K5" s="89">
        <f t="shared" si="3"/>
        <v>1.0268999999999977</v>
      </c>
      <c r="L5" s="101">
        <f t="shared" si="4"/>
        <v>71.655850952480492</v>
      </c>
      <c r="O5" s="89">
        <f t="shared" si="5"/>
        <v>70165.732331268795</v>
      </c>
      <c r="P5" s="89">
        <f t="shared" si="6"/>
        <v>50277.852579010396</v>
      </c>
      <c r="Q5" s="101"/>
      <c r="R5" s="117">
        <f>R4/1000</f>
        <v>4.8998088887995755E-2</v>
      </c>
      <c r="S5" s="114"/>
      <c r="T5" s="115"/>
      <c r="U5" s="115"/>
      <c r="V5" s="115"/>
    </row>
    <row r="6" spans="1:23" x14ac:dyDescent="0.25">
      <c r="A6" s="94">
        <v>44288</v>
      </c>
      <c r="B6" s="89">
        <v>2</v>
      </c>
      <c r="C6" s="116">
        <v>6</v>
      </c>
      <c r="D6" s="89">
        <v>21.1692</v>
      </c>
      <c r="E6" s="89">
        <v>43.295000000000002</v>
      </c>
      <c r="F6" s="89">
        <v>22.749600000000001</v>
      </c>
      <c r="G6" s="89">
        <v>22.7973</v>
      </c>
      <c r="H6" s="89">
        <f t="shared" si="0"/>
        <v>22.125800000000002</v>
      </c>
      <c r="I6" s="89">
        <f t="shared" si="1"/>
        <v>1.5804000000000009</v>
      </c>
      <c r="J6" s="101">
        <f t="shared" si="2"/>
        <v>7.1427925769915701</v>
      </c>
      <c r="K6" s="89">
        <f t="shared" si="3"/>
        <v>-4.7699999999998965E-2</v>
      </c>
      <c r="L6" s="101">
        <f t="shared" si="4"/>
        <v>-3.0182232346240787</v>
      </c>
      <c r="M6" s="114">
        <f>AVERAGE(J6:J8)</f>
        <v>7.147621175519693</v>
      </c>
      <c r="N6" s="114">
        <f>AVERAGE(L6:L8)</f>
        <v>66.915217823306548</v>
      </c>
      <c r="O6" s="89">
        <f t="shared" si="5"/>
        <v>71427.925769915702</v>
      </c>
      <c r="P6" s="89">
        <f t="shared" si="6"/>
        <v>-2155.8542515976355</v>
      </c>
      <c r="Q6" s="114">
        <f>AVERAGE(O6:O8)</f>
        <v>71476.211755196928</v>
      </c>
      <c r="R6" s="114">
        <f>AVERAGE(P6:P8)</f>
        <v>47825.26843109366</v>
      </c>
      <c r="S6" s="114">
        <f t="shared" ref="S6:S66" si="7">((R6*1)/1000)</f>
        <v>47.825268431093662</v>
      </c>
      <c r="T6" s="115">
        <f>_xlfn.STDEV.S(J6:J8)</f>
        <v>1.1876618916411058E-2</v>
      </c>
      <c r="U6" s="115">
        <f>_xlfn.STDEV.S(L6:L8)</f>
        <v>66.348182360284497</v>
      </c>
      <c r="V6" s="115">
        <f>_xlfn.STDEV.S(P6:P8)/1000</f>
        <v>47.37601043775679</v>
      </c>
    </row>
    <row r="7" spans="1:23" x14ac:dyDescent="0.25">
      <c r="C7" s="89" t="s">
        <v>89</v>
      </c>
      <c r="D7" s="89">
        <v>22.894500000000001</v>
      </c>
      <c r="E7" s="89">
        <v>44.329599999999999</v>
      </c>
      <c r="F7" s="89">
        <v>24.429500000000001</v>
      </c>
      <c r="G7" s="89">
        <v>23.281500000000001</v>
      </c>
      <c r="H7" s="89">
        <f t="shared" si="0"/>
        <v>21.435099999999998</v>
      </c>
      <c r="I7" s="89">
        <f t="shared" si="1"/>
        <v>1.5350000000000001</v>
      </c>
      <c r="J7" s="101">
        <f t="shared" si="2"/>
        <v>7.1611515691552645</v>
      </c>
      <c r="K7" s="89">
        <f t="shared" si="3"/>
        <v>1.1479999999999997</v>
      </c>
      <c r="L7" s="101">
        <f t="shared" si="4"/>
        <v>74.788273615635148</v>
      </c>
      <c r="O7" s="89">
        <f t="shared" si="5"/>
        <v>71611.515691552646</v>
      </c>
      <c r="P7" s="89">
        <f t="shared" si="6"/>
        <v>53557.016295701898</v>
      </c>
      <c r="Q7" s="101"/>
      <c r="R7" s="101">
        <f>R6/1000</f>
        <v>47.825268431093662</v>
      </c>
      <c r="S7" s="114"/>
      <c r="T7" s="115"/>
      <c r="U7" s="115"/>
      <c r="V7" s="115"/>
    </row>
    <row r="8" spans="1:23" x14ac:dyDescent="0.25">
      <c r="C8" s="89" t="s">
        <v>79</v>
      </c>
      <c r="D8" s="89">
        <v>25.4358</v>
      </c>
      <c r="E8" s="89">
        <v>45.933300000000003</v>
      </c>
      <c r="F8" s="89">
        <v>26.899100000000001</v>
      </c>
      <c r="G8" s="89">
        <v>25.011800000000001</v>
      </c>
      <c r="H8" s="89">
        <f t="shared" si="0"/>
        <v>20.497500000000002</v>
      </c>
      <c r="I8" s="89">
        <f t="shared" si="1"/>
        <v>1.4633000000000003</v>
      </c>
      <c r="J8" s="101">
        <f t="shared" si="2"/>
        <v>7.1389193804122453</v>
      </c>
      <c r="K8" s="89">
        <f t="shared" si="3"/>
        <v>1.8872999999999998</v>
      </c>
      <c r="L8" s="101">
        <f t="shared" si="4"/>
        <v>128.9756030889086</v>
      </c>
      <c r="O8" s="89">
        <f t="shared" si="5"/>
        <v>71389.193804122449</v>
      </c>
      <c r="P8" s="89">
        <f t="shared" si="6"/>
        <v>92074.643249176705</v>
      </c>
      <c r="Q8" s="101"/>
      <c r="R8" s="101"/>
      <c r="S8" s="114"/>
      <c r="T8" s="115"/>
      <c r="U8" s="115"/>
      <c r="V8" s="115"/>
    </row>
    <row r="9" spans="1:23" x14ac:dyDescent="0.25">
      <c r="A9" s="94">
        <v>44291</v>
      </c>
      <c r="B9" s="89">
        <v>5</v>
      </c>
      <c r="C9" s="89">
        <v>88</v>
      </c>
      <c r="D9" s="89">
        <v>18.866900000000001</v>
      </c>
      <c r="E9" s="89">
        <v>40.161299999999997</v>
      </c>
      <c r="F9" s="89">
        <v>20.136299999999999</v>
      </c>
      <c r="G9" s="89">
        <v>19.330300000000001</v>
      </c>
      <c r="H9" s="89">
        <f t="shared" si="0"/>
        <v>21.294399999999996</v>
      </c>
      <c r="I9" s="89">
        <f t="shared" si="1"/>
        <v>1.2693999999999974</v>
      </c>
      <c r="J9" s="101">
        <f t="shared" si="2"/>
        <v>5.9611916748065115</v>
      </c>
      <c r="K9" s="89">
        <f t="shared" si="3"/>
        <v>0.80599999999999739</v>
      </c>
      <c r="L9" s="101">
        <f t="shared" si="4"/>
        <v>63.494564361115415</v>
      </c>
      <c r="M9" s="114">
        <f>AVERAGE(J9:J11)</f>
        <v>6.2746667722925649</v>
      </c>
      <c r="N9" s="114">
        <f>AVERAGE(L9:L11)</f>
        <v>63.39020304612427</v>
      </c>
      <c r="O9" s="89">
        <f t="shared" si="5"/>
        <v>59611.916748065109</v>
      </c>
      <c r="P9" s="89">
        <f t="shared" si="6"/>
        <v>37850.32684649474</v>
      </c>
      <c r="Q9" s="114">
        <f>AVERAGE(O9:O11)</f>
        <v>62746.667722925638</v>
      </c>
      <c r="R9" s="114">
        <f>AVERAGE(P9:P11)</f>
        <v>39775.11927399828</v>
      </c>
      <c r="S9" s="114">
        <f t="shared" si="7"/>
        <v>39.775119273998278</v>
      </c>
      <c r="T9" s="115">
        <f>_xlfn.STDEV.S(J9:J11)</f>
        <v>0.34027533644786656</v>
      </c>
      <c r="U9" s="115">
        <f>_xlfn.STDEV.S(L9:L11)</f>
        <v>0.14296055491422643</v>
      </c>
      <c r="V9" s="115">
        <f>_xlfn.STDEV.S(P9:P11)/1000</f>
        <v>2.1580656445250868</v>
      </c>
    </row>
    <row r="10" spans="1:23" x14ac:dyDescent="0.25">
      <c r="C10" s="116">
        <v>9</v>
      </c>
      <c r="D10" s="89">
        <v>19.995899999999999</v>
      </c>
      <c r="E10" s="89">
        <v>41.445399999999999</v>
      </c>
      <c r="F10" s="89">
        <v>21.331399999999999</v>
      </c>
      <c r="G10" s="89">
        <v>20.486999999999998</v>
      </c>
      <c r="H10" s="89">
        <f t="shared" si="0"/>
        <v>21.4495</v>
      </c>
      <c r="I10" s="89">
        <f t="shared" si="1"/>
        <v>1.3354999999999997</v>
      </c>
      <c r="J10" s="101">
        <f t="shared" si="2"/>
        <v>6.2262523601948745</v>
      </c>
      <c r="K10" s="89">
        <f t="shared" si="3"/>
        <v>0.84440000000000026</v>
      </c>
      <c r="L10" s="101">
        <f t="shared" si="4"/>
        <v>63.227255709472139</v>
      </c>
      <c r="O10" s="89">
        <f t="shared" si="5"/>
        <v>62262.523601948749</v>
      </c>
      <c r="P10" s="89">
        <f t="shared" si="6"/>
        <v>39366.885008974583</v>
      </c>
      <c r="Q10" s="101"/>
      <c r="R10" s="101">
        <f>R9/1000</f>
        <v>39.775119273998278</v>
      </c>
      <c r="S10" s="114"/>
      <c r="T10" s="115"/>
      <c r="U10" s="115"/>
      <c r="V10" s="115"/>
    </row>
    <row r="11" spans="1:23" x14ac:dyDescent="0.25">
      <c r="C11" s="89" t="s">
        <v>30</v>
      </c>
      <c r="D11" s="89">
        <v>24.5031</v>
      </c>
      <c r="E11" s="89">
        <v>46.776699999999998</v>
      </c>
      <c r="F11" s="89">
        <v>25.981300000000001</v>
      </c>
      <c r="G11" s="89">
        <v>25.043399999999998</v>
      </c>
      <c r="H11" s="89">
        <f t="shared" si="0"/>
        <v>22.273599999999998</v>
      </c>
      <c r="I11" s="89">
        <f t="shared" si="1"/>
        <v>1.4782000000000011</v>
      </c>
      <c r="J11" s="101">
        <f t="shared" si="2"/>
        <v>6.6365562818763078</v>
      </c>
      <c r="K11" s="89">
        <f t="shared" si="3"/>
        <v>0.93790000000000262</v>
      </c>
      <c r="L11" s="101">
        <f t="shared" si="4"/>
        <v>63.44878906778527</v>
      </c>
      <c r="O11" s="89">
        <f t="shared" si="5"/>
        <v>66365.562818763079</v>
      </c>
      <c r="P11" s="89">
        <f t="shared" si="6"/>
        <v>42108.14596652551</v>
      </c>
      <c r="Q11" s="101"/>
      <c r="R11" s="101"/>
      <c r="S11" s="114"/>
      <c r="T11" s="115"/>
      <c r="U11" s="115"/>
      <c r="V11" s="115"/>
    </row>
    <row r="12" spans="1:23" x14ac:dyDescent="0.25">
      <c r="A12" s="94">
        <v>44293</v>
      </c>
      <c r="B12" s="89">
        <v>7</v>
      </c>
      <c r="C12" s="89" t="s">
        <v>36</v>
      </c>
      <c r="D12" s="89">
        <v>24.6158</v>
      </c>
      <c r="E12" s="89">
        <v>46.556699999999999</v>
      </c>
      <c r="F12" s="89">
        <v>26.023199999999999</v>
      </c>
      <c r="G12" s="89">
        <v>25.236899999999999</v>
      </c>
      <c r="H12" s="89">
        <f t="shared" si="0"/>
        <v>21.940899999999999</v>
      </c>
      <c r="I12" s="89">
        <f t="shared" si="1"/>
        <v>1.4073999999999991</v>
      </c>
      <c r="J12" s="101">
        <f t="shared" si="2"/>
        <v>6.4145044186883808</v>
      </c>
      <c r="K12" s="89">
        <f t="shared" si="3"/>
        <v>0.78630000000000067</v>
      </c>
      <c r="L12" s="101">
        <f t="shared" si="4"/>
        <v>55.868978257780391</v>
      </c>
      <c r="M12" s="114">
        <f>AVERAGE(J12:J14)</f>
        <v>7.3554076981457577</v>
      </c>
      <c r="N12" s="114">
        <f>AVERAGE(L12:L14)</f>
        <v>57.779236009473664</v>
      </c>
      <c r="O12" s="89">
        <f t="shared" si="5"/>
        <v>64145.04418688381</v>
      </c>
      <c r="P12" s="89">
        <f t="shared" si="6"/>
        <v>35837.180790213744</v>
      </c>
      <c r="Q12" s="114">
        <f>AVERAGE(O12:O14)</f>
        <v>73554.076981457576</v>
      </c>
      <c r="R12" s="114">
        <f>AVERAGE(P12:P14)</f>
        <v>42542.820179073424</v>
      </c>
      <c r="S12" s="114">
        <f t="shared" si="7"/>
        <v>42.542820179073424</v>
      </c>
      <c r="T12" s="115">
        <f>_xlfn.STDEV.S(J12:J14)</f>
        <v>1.3519699671579177</v>
      </c>
      <c r="U12" s="115">
        <f>_xlfn.STDEV.S(L12:L14)</f>
        <v>1.7738251587717975</v>
      </c>
      <c r="V12" s="115">
        <f>_xlfn.STDEV.S(P12:P14)/1000</f>
        <v>8.2326867608148913</v>
      </c>
    </row>
    <row r="13" spans="1:23" x14ac:dyDescent="0.25">
      <c r="C13" s="89" t="s">
        <v>35</v>
      </c>
      <c r="D13" s="89">
        <v>24.619900000000001</v>
      </c>
      <c r="E13" s="89">
        <v>41.143799999999999</v>
      </c>
      <c r="F13" s="89">
        <v>26.0913</v>
      </c>
      <c r="G13" s="89">
        <v>25.236499999999999</v>
      </c>
      <c r="H13" s="89">
        <f t="shared" si="0"/>
        <v>16.523899999999998</v>
      </c>
      <c r="I13" s="89">
        <f t="shared" si="1"/>
        <v>1.4713999999999992</v>
      </c>
      <c r="J13" s="101">
        <f t="shared" si="2"/>
        <v>8.9046774671838946</v>
      </c>
      <c r="K13" s="89">
        <f t="shared" si="3"/>
        <v>0.85480000000000089</v>
      </c>
      <c r="L13" s="101">
        <f t="shared" si="4"/>
        <v>58.094331928775411</v>
      </c>
      <c r="O13" s="89">
        <f t="shared" si="5"/>
        <v>89046.774671838939</v>
      </c>
      <c r="P13" s="89">
        <f t="shared" si="6"/>
        <v>51731.128849726818</v>
      </c>
      <c r="Q13" s="101"/>
      <c r="R13" s="101">
        <f>R12/1000</f>
        <v>42.542820179073424</v>
      </c>
      <c r="S13" s="114"/>
      <c r="T13" s="115"/>
      <c r="U13" s="115"/>
      <c r="V13" s="115"/>
    </row>
    <row r="14" spans="1:23" x14ac:dyDescent="0.25">
      <c r="C14" s="89" t="s">
        <v>40</v>
      </c>
      <c r="D14" s="89">
        <v>23.9087</v>
      </c>
      <c r="E14" s="89">
        <v>46.984000000000002</v>
      </c>
      <c r="F14" s="89">
        <v>25.465599999999998</v>
      </c>
      <c r="G14" s="89">
        <v>24.5412</v>
      </c>
      <c r="H14" s="89">
        <f t="shared" si="0"/>
        <v>23.075300000000002</v>
      </c>
      <c r="I14" s="89">
        <f t="shared" si="1"/>
        <v>1.5568999999999988</v>
      </c>
      <c r="J14" s="101">
        <f t="shared" si="2"/>
        <v>6.7470412085649967</v>
      </c>
      <c r="K14" s="89">
        <f t="shared" si="3"/>
        <v>0.92439999999999856</v>
      </c>
      <c r="L14" s="101">
        <f t="shared" si="4"/>
        <v>59.374397841865203</v>
      </c>
      <c r="O14" s="89">
        <f t="shared" si="5"/>
        <v>67470.412085649965</v>
      </c>
      <c r="P14" s="89">
        <f t="shared" si="6"/>
        <v>40060.150897279709</v>
      </c>
      <c r="Q14" s="101"/>
      <c r="R14" s="101"/>
      <c r="S14" s="114"/>
      <c r="T14" s="115"/>
      <c r="U14" s="115"/>
      <c r="V14" s="115"/>
    </row>
    <row r="15" spans="1:23" x14ac:dyDescent="0.25">
      <c r="A15" s="94">
        <v>44295</v>
      </c>
      <c r="B15" s="89">
        <v>9</v>
      </c>
      <c r="C15" s="89">
        <v>9</v>
      </c>
      <c r="D15" s="89">
        <v>19.999199999999998</v>
      </c>
      <c r="E15" s="89">
        <v>41.311399999999999</v>
      </c>
      <c r="F15" s="89">
        <v>21.478100000000001</v>
      </c>
      <c r="G15" s="89">
        <v>20.751899999999999</v>
      </c>
      <c r="H15" s="89">
        <f t="shared" si="0"/>
        <v>21.312200000000001</v>
      </c>
      <c r="I15" s="89">
        <f t="shared" si="1"/>
        <v>1.478900000000003</v>
      </c>
      <c r="J15" s="101">
        <f t="shared" si="2"/>
        <v>6.9392179127448275</v>
      </c>
      <c r="K15" s="89">
        <f t="shared" si="3"/>
        <v>0.72620000000000218</v>
      </c>
      <c r="L15" s="101">
        <f t="shared" si="4"/>
        <v>49.104063831225957</v>
      </c>
      <c r="M15" s="114">
        <f>AVERAGE(J15:J17)</f>
        <v>6.8211312824466326</v>
      </c>
      <c r="N15" s="114">
        <f>AVERAGE(L15:L17)</f>
        <v>51.422058236662394</v>
      </c>
      <c r="O15" s="89">
        <f t="shared" si="5"/>
        <v>69392.179127448268</v>
      </c>
      <c r="P15" s="89">
        <f t="shared" si="6"/>
        <v>34074.379932620854</v>
      </c>
      <c r="Q15" s="114">
        <f>AVERAGE(O15:O17)</f>
        <v>68211.312824466309</v>
      </c>
      <c r="R15" s="114">
        <f>AVERAGE(P15:P17)</f>
        <v>35340.243614411891</v>
      </c>
      <c r="S15" s="114">
        <f t="shared" si="7"/>
        <v>35.340243614411889</v>
      </c>
      <c r="T15" s="115">
        <f>_xlfn.STDEV.S(J15:J17)</f>
        <v>0.92123163941669839</v>
      </c>
      <c r="U15" s="115">
        <f>_xlfn.STDEV.S(L15:L17)</f>
        <v>4.9814914088973881</v>
      </c>
      <c r="V15" s="115">
        <f>_xlfn.STDEV.S(P15:P17)/1000</f>
        <v>7.9726312327662097</v>
      </c>
    </row>
    <row r="16" spans="1:23" x14ac:dyDescent="0.25">
      <c r="C16" s="89" t="s">
        <v>89</v>
      </c>
      <c r="D16" s="89">
        <v>22.8888</v>
      </c>
      <c r="E16" s="89">
        <v>43.584000000000003</v>
      </c>
      <c r="F16" s="89">
        <v>24.477699999999999</v>
      </c>
      <c r="G16" s="89">
        <v>23.569800000000001</v>
      </c>
      <c r="H16" s="89">
        <f t="shared" si="0"/>
        <v>20.695200000000003</v>
      </c>
      <c r="I16" s="89">
        <f t="shared" si="1"/>
        <v>1.5888999999999989</v>
      </c>
      <c r="J16" s="101">
        <f t="shared" si="2"/>
        <v>7.6776257296377839</v>
      </c>
      <c r="K16" s="89">
        <f t="shared" si="3"/>
        <v>0.90789999999999793</v>
      </c>
      <c r="L16" s="101">
        <f t="shared" si="4"/>
        <v>57.140159859021878</v>
      </c>
      <c r="O16" s="89">
        <f t="shared" si="5"/>
        <v>76776.257296377837</v>
      </c>
      <c r="P16" s="89">
        <f t="shared" si="6"/>
        <v>43870.076152924245</v>
      </c>
      <c r="Q16" s="101"/>
      <c r="R16" s="101">
        <f>R15/1000</f>
        <v>35.340243614411889</v>
      </c>
      <c r="S16" s="114"/>
      <c r="T16" s="115"/>
      <c r="U16" s="115"/>
      <c r="V16" s="115"/>
    </row>
    <row r="17" spans="1:22" x14ac:dyDescent="0.25">
      <c r="C17" s="89">
        <v>25</v>
      </c>
      <c r="D17" s="89">
        <v>25.695699999999999</v>
      </c>
      <c r="E17" s="89">
        <v>46.578099999999999</v>
      </c>
      <c r="F17" s="89">
        <v>26.916599999999999</v>
      </c>
      <c r="G17" s="89">
        <v>26.330300000000001</v>
      </c>
      <c r="H17" s="89">
        <f t="shared" si="0"/>
        <v>20.882400000000001</v>
      </c>
      <c r="I17" s="89">
        <f t="shared" si="1"/>
        <v>1.2209000000000003</v>
      </c>
      <c r="J17" s="101">
        <f t="shared" si="2"/>
        <v>5.8465502049572864</v>
      </c>
      <c r="K17" s="89">
        <f t="shared" si="3"/>
        <v>0.58629999999999782</v>
      </c>
      <c r="L17" s="101">
        <f t="shared" si="4"/>
        <v>48.021951019739348</v>
      </c>
      <c r="O17" s="89">
        <f t="shared" si="5"/>
        <v>58465.50204957286</v>
      </c>
      <c r="P17" s="89">
        <f t="shared" si="6"/>
        <v>28076.274757690582</v>
      </c>
      <c r="Q17" s="101"/>
      <c r="R17" s="101"/>
      <c r="S17" s="114"/>
      <c r="T17" s="115"/>
      <c r="U17" s="115"/>
      <c r="V17" s="115"/>
    </row>
    <row r="18" spans="1:22" x14ac:dyDescent="0.25">
      <c r="A18" s="94">
        <v>44298</v>
      </c>
      <c r="B18" s="89">
        <v>12</v>
      </c>
      <c r="C18" s="89" t="s">
        <v>35</v>
      </c>
      <c r="D18" s="89">
        <v>24.613700000000001</v>
      </c>
      <c r="E18" s="89">
        <v>45.786700000000003</v>
      </c>
      <c r="F18" s="89">
        <v>26.214300000000001</v>
      </c>
      <c r="G18" s="89">
        <v>25.2973</v>
      </c>
      <c r="H18" s="89">
        <f t="shared" si="0"/>
        <v>21.173000000000002</v>
      </c>
      <c r="I18" s="89">
        <f t="shared" si="1"/>
        <v>1.6006</v>
      </c>
      <c r="J18" s="101">
        <f t="shared" si="2"/>
        <v>7.5596278278940154</v>
      </c>
      <c r="K18" s="89">
        <f t="shared" si="3"/>
        <v>0.91700000000000159</v>
      </c>
      <c r="L18" s="101">
        <f t="shared" si="4"/>
        <v>57.291015869049197</v>
      </c>
      <c r="M18" s="114">
        <f>AVERAGE(J18:J20)</f>
        <v>7.1421806330821367</v>
      </c>
      <c r="N18" s="114">
        <f>AVERAGE(L18:L20)</f>
        <v>54.084706799935269</v>
      </c>
      <c r="O18" s="89">
        <f t="shared" si="5"/>
        <v>75596.278278940154</v>
      </c>
      <c r="P18" s="89">
        <f t="shared" si="6"/>
        <v>43309.875785198201</v>
      </c>
      <c r="Q18" s="114">
        <f>AVERAGE(O18:O20)</f>
        <v>71421.806330821375</v>
      </c>
      <c r="R18" s="114">
        <f>AVERAGE(P18:P20)</f>
        <v>38813.965090015692</v>
      </c>
      <c r="S18" s="114">
        <f t="shared" si="7"/>
        <v>38.813965090015692</v>
      </c>
      <c r="T18" s="115">
        <f>_xlfn.STDEV.S(J18:J20)</f>
        <v>0.93724555378538987</v>
      </c>
      <c r="U18" s="115">
        <f>_xlfn.STDEV.S(L18:L20)</f>
        <v>3.4575782685435974</v>
      </c>
      <c r="V18" s="115">
        <f>_xlfn.STDEV.S(P18:P20)/1000</f>
        <v>7.1246291315256594</v>
      </c>
    </row>
    <row r="19" spans="1:22" x14ac:dyDescent="0.25">
      <c r="C19" s="89" t="s">
        <v>43</v>
      </c>
      <c r="D19" s="89">
        <v>25.517900000000001</v>
      </c>
      <c r="E19" s="89">
        <v>44.548000000000002</v>
      </c>
      <c r="F19" s="89">
        <v>27.001899999999999</v>
      </c>
      <c r="G19" s="89">
        <v>26.192499999999999</v>
      </c>
      <c r="H19" s="89">
        <f t="shared" si="0"/>
        <v>19.030100000000001</v>
      </c>
      <c r="I19" s="89">
        <f t="shared" si="1"/>
        <v>1.4839999999999982</v>
      </c>
      <c r="J19" s="101">
        <f t="shared" si="2"/>
        <v>7.7981723690364113</v>
      </c>
      <c r="K19" s="89">
        <f t="shared" si="3"/>
        <v>0.80940000000000012</v>
      </c>
      <c r="L19" s="101">
        <f t="shared" si="4"/>
        <v>54.541778975741316</v>
      </c>
      <c r="O19" s="89">
        <f t="shared" si="5"/>
        <v>77981.723690364117</v>
      </c>
      <c r="P19" s="89">
        <f t="shared" si="6"/>
        <v>42532.619376671704</v>
      </c>
      <c r="Q19" s="101"/>
      <c r="R19" s="101">
        <f>R18/1000</f>
        <v>38.813965090015692</v>
      </c>
      <c r="S19" s="114"/>
      <c r="T19" s="115"/>
      <c r="U19" s="115"/>
      <c r="V19" s="115"/>
    </row>
    <row r="20" spans="1:22" x14ac:dyDescent="0.25">
      <c r="C20" s="89" t="s">
        <v>40</v>
      </c>
      <c r="D20" s="89">
        <v>23.896599999999999</v>
      </c>
      <c r="E20" s="89">
        <v>44.233600000000003</v>
      </c>
      <c r="F20" s="89">
        <v>25.130800000000001</v>
      </c>
      <c r="G20" s="89">
        <v>24.508500000000002</v>
      </c>
      <c r="H20" s="89">
        <f t="shared" si="0"/>
        <v>20.337000000000003</v>
      </c>
      <c r="I20" s="89">
        <f t="shared" si="1"/>
        <v>1.2342000000000013</v>
      </c>
      <c r="J20" s="101">
        <f t="shared" si="2"/>
        <v>6.0687417023159815</v>
      </c>
      <c r="K20" s="89">
        <f t="shared" si="3"/>
        <v>0.62229999999999919</v>
      </c>
      <c r="L20" s="101">
        <f t="shared" si="4"/>
        <v>50.421325555015272</v>
      </c>
      <c r="O20" s="89">
        <f t="shared" si="5"/>
        <v>60687.417023159818</v>
      </c>
      <c r="P20" s="89">
        <f t="shared" si="6"/>
        <v>30599.400108177168</v>
      </c>
      <c r="Q20" s="101"/>
      <c r="R20" s="101"/>
      <c r="S20" s="114"/>
      <c r="T20" s="115"/>
      <c r="U20" s="115"/>
      <c r="V20" s="115"/>
    </row>
    <row r="21" spans="1:22" x14ac:dyDescent="0.25">
      <c r="A21" s="94">
        <v>44300</v>
      </c>
      <c r="B21" s="89">
        <v>14</v>
      </c>
      <c r="C21" s="89" t="s">
        <v>89</v>
      </c>
      <c r="D21" s="89">
        <v>22.887899999999998</v>
      </c>
      <c r="E21" s="89">
        <v>45.543900000000001</v>
      </c>
      <c r="F21" s="89">
        <v>24.379300000000001</v>
      </c>
      <c r="G21" s="89">
        <v>23.5427</v>
      </c>
      <c r="H21" s="89">
        <f t="shared" si="0"/>
        <v>22.656000000000002</v>
      </c>
      <c r="I21" s="89">
        <f t="shared" si="1"/>
        <v>1.4914000000000023</v>
      </c>
      <c r="J21" s="101">
        <f t="shared" si="2"/>
        <v>6.5828036723163939</v>
      </c>
      <c r="K21" s="89">
        <f t="shared" si="3"/>
        <v>0.83660000000000068</v>
      </c>
      <c r="L21" s="101">
        <f t="shared" si="4"/>
        <v>56.094944347592822</v>
      </c>
      <c r="M21" s="114">
        <f>AVERAGE(J21:J23)</f>
        <v>6.3736251591054911</v>
      </c>
      <c r="N21" s="114">
        <f>AVERAGE(L21:L23)</f>
        <v>55.360184278050234</v>
      </c>
      <c r="O21" s="89">
        <f t="shared" si="5"/>
        <v>65828.036723163939</v>
      </c>
      <c r="P21" s="89">
        <f t="shared" si="6"/>
        <v>36926.200564971776</v>
      </c>
      <c r="Q21" s="114">
        <f>AVERAGE(O21:O23)</f>
        <v>63736.251591054926</v>
      </c>
      <c r="R21" s="114">
        <f>AVERAGE(P21:P23)</f>
        <v>35351.940884023505</v>
      </c>
      <c r="S21" s="114">
        <f t="shared" si="7"/>
        <v>35.351940884023506</v>
      </c>
      <c r="T21" s="115">
        <f>_xlfn.STDEV.S(J21:J23)</f>
        <v>0.641303960326569</v>
      </c>
      <c r="U21" s="115">
        <f>_xlfn.STDEV.S(L21:L23)</f>
        <v>1.5897717842526582</v>
      </c>
      <c r="V21" s="115">
        <f>_xlfn.STDEV.S(P21:P23)/1000</f>
        <v>4.50752243670025</v>
      </c>
    </row>
    <row r="22" spans="1:22" x14ac:dyDescent="0.25">
      <c r="C22" s="89">
        <v>6</v>
      </c>
      <c r="D22" s="89">
        <v>21.162099999999999</v>
      </c>
      <c r="E22" s="89">
        <v>44.1233</v>
      </c>
      <c r="F22" s="89">
        <v>22.742799999999999</v>
      </c>
      <c r="G22" s="89">
        <v>21.8505</v>
      </c>
      <c r="H22" s="89">
        <f t="shared" si="0"/>
        <v>22.961200000000002</v>
      </c>
      <c r="I22" s="89">
        <f t="shared" si="1"/>
        <v>1.5807000000000002</v>
      </c>
      <c r="J22" s="101">
        <f t="shared" si="2"/>
        <v>6.8842220789854194</v>
      </c>
      <c r="K22" s="89">
        <f t="shared" si="3"/>
        <v>0.89229999999999876</v>
      </c>
      <c r="L22" s="101">
        <f t="shared" si="4"/>
        <v>56.449674194976815</v>
      </c>
      <c r="O22" s="89">
        <f t="shared" si="5"/>
        <v>68842.220789854196</v>
      </c>
      <c r="P22" s="89">
        <f t="shared" si="6"/>
        <v>38861.209344459297</v>
      </c>
      <c r="Q22" s="101"/>
      <c r="R22" s="101">
        <f>R21/1000</f>
        <v>35.351940884023506</v>
      </c>
      <c r="S22" s="114"/>
      <c r="T22" s="115"/>
      <c r="U22" s="115"/>
      <c r="V22" s="115"/>
    </row>
    <row r="23" spans="1:22" x14ac:dyDescent="0.25">
      <c r="C23" s="89">
        <v>88</v>
      </c>
      <c r="D23" s="89">
        <v>18.862500000000001</v>
      </c>
      <c r="E23" s="89">
        <v>40.396500000000003</v>
      </c>
      <c r="F23" s="89">
        <v>20.079999999999998</v>
      </c>
      <c r="G23" s="89">
        <v>19.4282</v>
      </c>
      <c r="H23" s="89">
        <f t="shared" si="0"/>
        <v>21.534000000000002</v>
      </c>
      <c r="I23" s="89">
        <f t="shared" si="1"/>
        <v>1.2174999999999976</v>
      </c>
      <c r="J23" s="101">
        <f t="shared" si="2"/>
        <v>5.6538497260146627</v>
      </c>
      <c r="K23" s="89">
        <f t="shared" si="3"/>
        <v>0.65179999999999794</v>
      </c>
      <c r="L23" s="101">
        <f t="shared" si="4"/>
        <v>53.535934291581043</v>
      </c>
      <c r="O23" s="89">
        <f t="shared" si="5"/>
        <v>56538.497260146629</v>
      </c>
      <c r="P23" s="89">
        <f t="shared" si="6"/>
        <v>30268.412742639448</v>
      </c>
      <c r="Q23" s="101"/>
      <c r="R23" s="101"/>
      <c r="S23" s="114"/>
      <c r="T23" s="115"/>
      <c r="U23" s="115"/>
      <c r="V23" s="115"/>
    </row>
    <row r="24" spans="1:22" x14ac:dyDescent="0.25">
      <c r="A24" s="94">
        <v>44302</v>
      </c>
      <c r="B24" s="89">
        <v>16</v>
      </c>
      <c r="C24" s="89" t="s">
        <v>89</v>
      </c>
      <c r="D24" s="89">
        <v>22.8917</v>
      </c>
      <c r="E24" s="89">
        <v>43.493499999999997</v>
      </c>
      <c r="F24" s="89">
        <v>24.324000000000002</v>
      </c>
      <c r="G24" s="89">
        <v>23.6157</v>
      </c>
      <c r="H24" s="89">
        <f t="shared" si="0"/>
        <v>20.601799999999997</v>
      </c>
      <c r="I24" s="89">
        <f t="shared" si="1"/>
        <v>1.4323000000000015</v>
      </c>
      <c r="J24" s="101">
        <f t="shared" si="2"/>
        <v>6.9523051383859737</v>
      </c>
      <c r="K24" s="89">
        <f t="shared" si="3"/>
        <v>0.70830000000000126</v>
      </c>
      <c r="L24" s="101">
        <f t="shared" si="4"/>
        <v>49.451930461495536</v>
      </c>
      <c r="M24" s="114">
        <f>AVERAGE(J24:J26)</f>
        <v>6.9278361523958596</v>
      </c>
      <c r="N24" s="114">
        <f>AVERAGE(L24:L26)</f>
        <v>47.498068472010111</v>
      </c>
      <c r="O24" s="89">
        <f t="shared" si="5"/>
        <v>69523.05138385974</v>
      </c>
      <c r="P24" s="89">
        <f t="shared" si="6"/>
        <v>34380.49102505613</v>
      </c>
      <c r="Q24" s="114">
        <f>AVERAGE(O24:O26)</f>
        <v>69278.361523958607</v>
      </c>
      <c r="R24" s="114">
        <f>AVERAGE(P24:P26)</f>
        <v>33252.323145775124</v>
      </c>
      <c r="S24" s="114">
        <f t="shared" si="7"/>
        <v>33.252323145775122</v>
      </c>
      <c r="T24" s="115">
        <f>_xlfn.STDEV.S(J24:J26)</f>
        <v>0.84062620399310028</v>
      </c>
      <c r="U24" s="115">
        <f>_xlfn.STDEV.S(L24:L26)</f>
        <v>6.3699607914846057</v>
      </c>
      <c r="V24" s="115">
        <f>_xlfn.STDEV.S(P24:P26)/1000</f>
        <v>8.2147006318810387</v>
      </c>
    </row>
    <row r="25" spans="1:22" x14ac:dyDescent="0.25">
      <c r="C25" s="89" t="s">
        <v>82</v>
      </c>
      <c r="D25" s="89">
        <v>25.6496</v>
      </c>
      <c r="E25" s="89">
        <v>44.900599999999997</v>
      </c>
      <c r="F25" s="89">
        <v>27.142700000000001</v>
      </c>
      <c r="G25" s="89">
        <v>26.356400000000001</v>
      </c>
      <c r="H25" s="89">
        <f t="shared" si="0"/>
        <v>19.250999999999998</v>
      </c>
      <c r="I25" s="89">
        <f t="shared" si="1"/>
        <v>1.4931000000000019</v>
      </c>
      <c r="J25" s="101">
        <f t="shared" si="2"/>
        <v>7.7559607293127737</v>
      </c>
      <c r="K25" s="89">
        <f t="shared" si="3"/>
        <v>0.78630000000000067</v>
      </c>
      <c r="L25" s="101">
        <f t="shared" si="4"/>
        <v>52.662246333132387</v>
      </c>
      <c r="O25" s="89">
        <f t="shared" si="5"/>
        <v>77559.60729312773</v>
      </c>
      <c r="P25" s="89">
        <f t="shared" si="6"/>
        <v>40844.631447717045</v>
      </c>
      <c r="Q25" s="101"/>
      <c r="R25" s="101">
        <f>R24/1000</f>
        <v>33.252323145775122</v>
      </c>
      <c r="S25" s="114"/>
      <c r="T25" s="115"/>
      <c r="U25" s="115"/>
      <c r="V25" s="115"/>
    </row>
    <row r="26" spans="1:22" x14ac:dyDescent="0.25">
      <c r="C26" s="89" t="s">
        <v>33</v>
      </c>
      <c r="D26" s="89">
        <v>24.464500000000001</v>
      </c>
      <c r="E26" s="89">
        <v>45.168199999999999</v>
      </c>
      <c r="F26" s="89">
        <v>25.722300000000001</v>
      </c>
      <c r="G26" s="89">
        <v>25.214400000000001</v>
      </c>
      <c r="H26" s="89">
        <f t="shared" si="0"/>
        <v>20.703699999999998</v>
      </c>
      <c r="I26" s="89">
        <f t="shared" si="1"/>
        <v>1.2577999999999996</v>
      </c>
      <c r="J26" s="101">
        <f t="shared" si="2"/>
        <v>6.075242589488834</v>
      </c>
      <c r="K26" s="89">
        <f t="shared" si="3"/>
        <v>0.50789999999999935</v>
      </c>
      <c r="L26" s="101">
        <f t="shared" si="4"/>
        <v>40.38002862140241</v>
      </c>
      <c r="O26" s="89">
        <f t="shared" si="5"/>
        <v>60752.425894888343</v>
      </c>
      <c r="P26" s="89">
        <f t="shared" si="6"/>
        <v>24531.846964552202</v>
      </c>
      <c r="Q26" s="101"/>
      <c r="R26" s="101"/>
      <c r="S26" s="114"/>
      <c r="T26" s="115"/>
      <c r="U26" s="115"/>
      <c r="V26" s="115"/>
    </row>
    <row r="27" spans="1:22" x14ac:dyDescent="0.25">
      <c r="A27" s="94">
        <v>44305</v>
      </c>
      <c r="B27" s="89">
        <v>19</v>
      </c>
      <c r="C27" s="89">
        <v>25</v>
      </c>
      <c r="D27" s="89">
        <v>25.683599999999998</v>
      </c>
      <c r="E27" s="89">
        <v>46.4163</v>
      </c>
      <c r="F27" s="89">
        <v>27.3857</v>
      </c>
      <c r="G27" s="89">
        <v>26.496700000000001</v>
      </c>
      <c r="H27" s="89">
        <f t="shared" si="0"/>
        <v>20.732700000000001</v>
      </c>
      <c r="I27" s="89">
        <f t="shared" si="1"/>
        <v>1.7021000000000015</v>
      </c>
      <c r="J27" s="101">
        <f t="shared" si="2"/>
        <v>8.2097363102731489</v>
      </c>
      <c r="K27" s="89">
        <f t="shared" si="3"/>
        <v>0.88899999999999935</v>
      </c>
      <c r="L27" s="101">
        <f t="shared" si="4"/>
        <v>52.229598730979298</v>
      </c>
      <c r="M27" s="114">
        <f>AVERAGE(J27:J29)</f>
        <v>6.9113775456360136</v>
      </c>
      <c r="N27" s="114">
        <f>AVERAGE(L27:L29)</f>
        <v>47.136503991172731</v>
      </c>
      <c r="O27" s="89">
        <f t="shared" si="5"/>
        <v>82097.363102731499</v>
      </c>
      <c r="P27" s="89">
        <f t="shared" si="6"/>
        <v>42879.123317271711</v>
      </c>
      <c r="Q27" s="114">
        <f>AVERAGE(O27:O29)</f>
        <v>69113.775456360134</v>
      </c>
      <c r="R27" s="114">
        <f>AVERAGE(P27:P29)</f>
        <v>33002.520009703519</v>
      </c>
      <c r="S27" s="114">
        <f t="shared" si="7"/>
        <v>33.002520009703517</v>
      </c>
      <c r="T27" s="115">
        <f>_xlfn.STDEV.S(J27:J29)</f>
        <v>1.1451523507164663</v>
      </c>
      <c r="U27" s="115">
        <f>_xlfn.STDEV.S(L27:L29)</f>
        <v>7.8582452404050693</v>
      </c>
      <c r="V27" s="115">
        <f>_xlfn.STDEV.S(P27:P29)/1000</f>
        <v>9.9279129228709948</v>
      </c>
    </row>
    <row r="28" spans="1:22" x14ac:dyDescent="0.25">
      <c r="C28" s="89">
        <v>84</v>
      </c>
      <c r="D28" s="89">
        <v>26.257100000000001</v>
      </c>
      <c r="E28" s="89">
        <v>47.452300000000001</v>
      </c>
      <c r="F28" s="89">
        <v>27.538399999999999</v>
      </c>
      <c r="G28" s="89">
        <v>27.0504</v>
      </c>
      <c r="H28" s="89">
        <f t="shared" si="0"/>
        <v>21.1952</v>
      </c>
      <c r="I28" s="89">
        <f t="shared" si="1"/>
        <v>1.2812999999999981</v>
      </c>
      <c r="J28" s="101">
        <f t="shared" si="2"/>
        <v>6.0452366573563738</v>
      </c>
      <c r="K28" s="89">
        <f t="shared" si="3"/>
        <v>0.48799999999999955</v>
      </c>
      <c r="L28" s="101">
        <f t="shared" si="4"/>
        <v>38.086318582689479</v>
      </c>
      <c r="O28" s="89">
        <f t="shared" si="5"/>
        <v>60452.366573563741</v>
      </c>
      <c r="P28" s="89">
        <f t="shared" si="6"/>
        <v>23024.080923982769</v>
      </c>
      <c r="Q28" s="101"/>
      <c r="R28" s="101">
        <f>R27/1000</f>
        <v>33.002520009703517</v>
      </c>
      <c r="S28" s="114"/>
      <c r="T28" s="115"/>
      <c r="U28" s="115"/>
      <c r="V28" s="115"/>
    </row>
    <row r="29" spans="1:22" x14ac:dyDescent="0.25">
      <c r="C29" s="89" t="s">
        <v>88</v>
      </c>
      <c r="D29" s="89">
        <v>23.8963</v>
      </c>
      <c r="E29" s="89">
        <v>45.630600000000001</v>
      </c>
      <c r="F29" s="89">
        <v>25.304500000000001</v>
      </c>
      <c r="G29" s="89">
        <v>24.585000000000001</v>
      </c>
      <c r="H29" s="89">
        <f t="shared" si="0"/>
        <v>21.734300000000001</v>
      </c>
      <c r="I29" s="89">
        <f t="shared" si="1"/>
        <v>1.4082000000000008</v>
      </c>
      <c r="J29" s="101">
        <f t="shared" si="2"/>
        <v>6.4791596692785172</v>
      </c>
      <c r="K29" s="89">
        <f t="shared" si="3"/>
        <v>0.71950000000000003</v>
      </c>
      <c r="L29" s="101">
        <f t="shared" si="4"/>
        <v>51.09359465984943</v>
      </c>
      <c r="O29" s="89">
        <f t="shared" si="5"/>
        <v>64791.59669278517</v>
      </c>
      <c r="P29" s="89">
        <f t="shared" si="6"/>
        <v>33104.35578785606</v>
      </c>
      <c r="Q29" s="101"/>
      <c r="R29" s="101"/>
      <c r="S29" s="114"/>
      <c r="T29" s="115"/>
      <c r="U29" s="115"/>
      <c r="V29" s="115"/>
    </row>
    <row r="30" spans="1:22" x14ac:dyDescent="0.25">
      <c r="A30" s="94">
        <v>44307</v>
      </c>
      <c r="B30" s="89">
        <v>21</v>
      </c>
      <c r="C30" s="89" t="s">
        <v>39</v>
      </c>
      <c r="D30" s="89">
        <v>25.428999999999998</v>
      </c>
      <c r="E30" s="89">
        <v>44.883699999999997</v>
      </c>
      <c r="F30" s="89">
        <v>26.7714</v>
      </c>
      <c r="G30" s="89">
        <v>25.900400000000001</v>
      </c>
      <c r="H30" s="89">
        <f t="shared" si="0"/>
        <v>19.454699999999999</v>
      </c>
      <c r="I30" s="89">
        <f t="shared" si="1"/>
        <v>1.3424000000000014</v>
      </c>
      <c r="J30" s="101">
        <f t="shared" si="2"/>
        <v>6.9001321017543384</v>
      </c>
      <c r="K30" s="89">
        <f t="shared" si="3"/>
        <v>0.87099999999999866</v>
      </c>
      <c r="L30" s="101">
        <f t="shared" si="4"/>
        <v>64.883790226459908</v>
      </c>
      <c r="M30" s="114">
        <f>AVERAGE(J30:J32)</f>
        <v>6.6539441120228018</v>
      </c>
      <c r="N30" s="114">
        <f>AVERAGE(L30:L32)</f>
        <v>62.658075337900335</v>
      </c>
      <c r="O30" s="89">
        <f t="shared" si="5"/>
        <v>69001.321017543392</v>
      </c>
      <c r="P30" s="89">
        <f t="shared" si="6"/>
        <v>44770.672382509045</v>
      </c>
      <c r="Q30" s="114">
        <f>AVERAGE(O30:O32)</f>
        <v>66539.441120228017</v>
      </c>
      <c r="R30" s="114">
        <f>AVERAGE(P30:P32)</f>
        <v>41775.611641701857</v>
      </c>
      <c r="S30" s="114">
        <f t="shared" si="7"/>
        <v>41.775611641701857</v>
      </c>
      <c r="T30" s="115">
        <f>_xlfn.STDEV.S(J30:J32)</f>
        <v>0.63659944750700959</v>
      </c>
      <c r="U30" s="115">
        <f>_xlfn.STDEV.S(L30:L32)</f>
        <v>2.3807824561476298</v>
      </c>
      <c r="V30" s="115">
        <f>_xlfn.STDEV.S(P30:P32)/1000</f>
        <v>5.2846622213699144</v>
      </c>
    </row>
    <row r="31" spans="1:22" x14ac:dyDescent="0.25">
      <c r="C31" s="89" t="s">
        <v>33</v>
      </c>
      <c r="D31" s="89">
        <v>24.421700000000001</v>
      </c>
      <c r="E31" s="89">
        <v>45.372</v>
      </c>
      <c r="F31" s="89">
        <v>25.915600000000001</v>
      </c>
      <c r="G31" s="89">
        <v>24.975300000000001</v>
      </c>
      <c r="H31" s="89">
        <f t="shared" si="0"/>
        <v>20.950299999999999</v>
      </c>
      <c r="I31" s="89">
        <f t="shared" si="1"/>
        <v>1.4939</v>
      </c>
      <c r="J31" s="101">
        <f t="shared" si="2"/>
        <v>7.1306854794442085</v>
      </c>
      <c r="K31" s="89">
        <f t="shared" si="3"/>
        <v>0.94030000000000058</v>
      </c>
      <c r="L31" s="101">
        <f t="shared" si="4"/>
        <v>62.942633375727993</v>
      </c>
      <c r="O31" s="89">
        <f t="shared" si="5"/>
        <v>71306.854794442086</v>
      </c>
      <c r="P31" s="89">
        <f t="shared" si="6"/>
        <v>44882.412185028406</v>
      </c>
      <c r="Q31" s="101"/>
      <c r="R31" s="101">
        <f>R30/1000</f>
        <v>41.775611641701857</v>
      </c>
      <c r="S31" s="114"/>
      <c r="T31" s="115"/>
      <c r="U31" s="115"/>
      <c r="V31" s="115"/>
    </row>
    <row r="32" spans="1:22" x14ac:dyDescent="0.25">
      <c r="C32" s="89">
        <v>88</v>
      </c>
      <c r="D32" s="89">
        <v>18.858599999999999</v>
      </c>
      <c r="E32" s="89">
        <v>40.532800000000002</v>
      </c>
      <c r="F32" s="89">
        <v>20.144100000000002</v>
      </c>
      <c r="G32" s="89">
        <v>19.370899999999999</v>
      </c>
      <c r="H32" s="89">
        <f t="shared" si="0"/>
        <v>21.674200000000003</v>
      </c>
      <c r="I32" s="89">
        <f t="shared" si="1"/>
        <v>1.2855000000000025</v>
      </c>
      <c r="J32" s="101">
        <f t="shared" si="2"/>
        <v>5.9310147548698557</v>
      </c>
      <c r="K32" s="89">
        <f t="shared" si="3"/>
        <v>0.77320000000000277</v>
      </c>
      <c r="L32" s="101">
        <f t="shared" si="4"/>
        <v>60.147802411513126</v>
      </c>
      <c r="O32" s="89">
        <f t="shared" si="5"/>
        <v>59310.147548698558</v>
      </c>
      <c r="P32" s="89">
        <f t="shared" si="6"/>
        <v>35673.750357568111</v>
      </c>
      <c r="Q32" s="101"/>
      <c r="R32" s="101"/>
      <c r="S32" s="114"/>
      <c r="T32" s="115"/>
      <c r="U32" s="115"/>
      <c r="V32" s="115"/>
    </row>
    <row r="33" spans="1:22" x14ac:dyDescent="0.25">
      <c r="A33" s="94">
        <v>44309</v>
      </c>
      <c r="B33" s="89">
        <v>23</v>
      </c>
      <c r="C33" s="89">
        <v>84</v>
      </c>
      <c r="D33" s="89">
        <v>26.263400000000001</v>
      </c>
      <c r="E33" s="89">
        <v>45.829300000000003</v>
      </c>
      <c r="F33" s="89">
        <v>27.4572</v>
      </c>
      <c r="G33" s="89">
        <v>26.728200000000001</v>
      </c>
      <c r="H33" s="89">
        <f t="shared" si="0"/>
        <v>19.565900000000003</v>
      </c>
      <c r="I33" s="89">
        <f t="shared" si="1"/>
        <v>1.1937999999999995</v>
      </c>
      <c r="J33" s="101">
        <f t="shared" si="2"/>
        <v>6.1014315722762529</v>
      </c>
      <c r="K33" s="89">
        <f t="shared" si="3"/>
        <v>0.7289999999999992</v>
      </c>
      <c r="L33" s="101">
        <f t="shared" si="4"/>
        <v>61.065505109733586</v>
      </c>
      <c r="M33" s="114">
        <f>AVERAGE(J33:J35)</f>
        <v>6.2994575338406902</v>
      </c>
      <c r="N33" s="114">
        <f>AVERAGE(L33:L35)</f>
        <v>61.647415261164063</v>
      </c>
      <c r="O33" s="89">
        <f t="shared" si="5"/>
        <v>61014.315722762527</v>
      </c>
      <c r="P33" s="89">
        <f t="shared" si="6"/>
        <v>37258.700085352531</v>
      </c>
      <c r="Q33" s="114">
        <f>AVERAGE(O33:O35)</f>
        <v>62994.575338406903</v>
      </c>
      <c r="R33" s="114">
        <f>AVERAGE(P33:P35)</f>
        <v>38838.119373188973</v>
      </c>
      <c r="S33" s="114">
        <f t="shared" si="7"/>
        <v>38.838119373188974</v>
      </c>
      <c r="T33" s="115">
        <f>_xlfn.STDEV.S(J33:J35)</f>
        <v>0.17441080941467985</v>
      </c>
      <c r="U33" s="115">
        <f>_xlfn.STDEV.S(L33:L35)</f>
        <v>1.1420914601206047</v>
      </c>
      <c r="V33" s="115">
        <f>_xlfn.STDEV.S(P33:P35)/1000</f>
        <v>1.4428043355312354</v>
      </c>
    </row>
    <row r="34" spans="1:22" x14ac:dyDescent="0.25">
      <c r="C34" s="89">
        <v>9</v>
      </c>
      <c r="D34" s="89">
        <v>19.9663</v>
      </c>
      <c r="E34" s="89">
        <v>40.600099999999998</v>
      </c>
      <c r="F34" s="89">
        <v>21.293099999999999</v>
      </c>
      <c r="G34" s="89">
        <v>20.4849</v>
      </c>
      <c r="H34" s="89">
        <f t="shared" si="0"/>
        <v>20.633799999999997</v>
      </c>
      <c r="I34" s="89">
        <f t="shared" si="1"/>
        <v>1.3267999999999986</v>
      </c>
      <c r="J34" s="101">
        <f t="shared" si="2"/>
        <v>6.4302261338192608</v>
      </c>
      <c r="K34" s="89">
        <f t="shared" si="3"/>
        <v>0.80819999999999936</v>
      </c>
      <c r="L34" s="101">
        <f t="shared" si="4"/>
        <v>60.913476032559558</v>
      </c>
      <c r="O34" s="89">
        <f t="shared" si="5"/>
        <v>64302.261338192613</v>
      </c>
      <c r="P34" s="89">
        <f t="shared" si="6"/>
        <v>39168.742548633767</v>
      </c>
      <c r="Q34" s="101"/>
      <c r="R34" s="101">
        <f>R33/1000</f>
        <v>38.838119373188974</v>
      </c>
      <c r="S34" s="114"/>
      <c r="T34" s="115"/>
      <c r="U34" s="115"/>
      <c r="V34" s="115"/>
    </row>
    <row r="35" spans="1:22" x14ac:dyDescent="0.25">
      <c r="C35" s="89">
        <v>25</v>
      </c>
      <c r="D35" s="89">
        <v>25.6919</v>
      </c>
      <c r="E35" s="89">
        <v>44.975000000000001</v>
      </c>
      <c r="F35" s="89">
        <v>26.919599999999999</v>
      </c>
      <c r="G35" s="89">
        <v>26.146599999999999</v>
      </c>
      <c r="H35" s="89">
        <f t="shared" si="0"/>
        <v>19.283100000000001</v>
      </c>
      <c r="I35" s="89">
        <f t="shared" si="1"/>
        <v>1.2276999999999987</v>
      </c>
      <c r="J35" s="101">
        <f t="shared" si="2"/>
        <v>6.3667148954265578</v>
      </c>
      <c r="K35" s="89">
        <f t="shared" si="3"/>
        <v>0.77299999999999969</v>
      </c>
      <c r="L35" s="101">
        <f t="shared" si="4"/>
        <v>62.963264641199032</v>
      </c>
      <c r="O35" s="89">
        <f t="shared" si="5"/>
        <v>63667.148954265576</v>
      </c>
      <c r="P35" s="89">
        <f t="shared" si="6"/>
        <v>40086.915485580619</v>
      </c>
      <c r="Q35" s="101"/>
      <c r="R35" s="101"/>
      <c r="S35" s="114"/>
      <c r="T35" s="115"/>
      <c r="U35" s="115"/>
      <c r="V35" s="115"/>
    </row>
    <row r="36" spans="1:22" x14ac:dyDescent="0.25">
      <c r="A36" s="94">
        <v>44312</v>
      </c>
      <c r="B36" s="89">
        <v>26</v>
      </c>
      <c r="C36" s="89" t="s">
        <v>31</v>
      </c>
      <c r="D36" s="89">
        <v>25.589700000000001</v>
      </c>
      <c r="E36" s="89">
        <v>47.446599999999997</v>
      </c>
      <c r="F36" s="89">
        <v>26.876300000000001</v>
      </c>
      <c r="G36" s="89">
        <v>26.048400000000001</v>
      </c>
      <c r="H36" s="89">
        <f t="shared" si="0"/>
        <v>21.856899999999996</v>
      </c>
      <c r="I36" s="89">
        <f t="shared" si="1"/>
        <v>1.2866</v>
      </c>
      <c r="J36" s="101">
        <f t="shared" si="2"/>
        <v>5.8864706339874378</v>
      </c>
      <c r="K36" s="89">
        <f t="shared" si="3"/>
        <v>0.82789999999999964</v>
      </c>
      <c r="L36" s="101">
        <f t="shared" si="4"/>
        <v>64.347893673247285</v>
      </c>
      <c r="M36" s="114">
        <f>AVERAGE(J36:J38)</f>
        <v>5.7721435700733821</v>
      </c>
      <c r="N36" s="114">
        <f>AVERAGE(L36:L38)</f>
        <v>64.743125675848077</v>
      </c>
      <c r="O36" s="89">
        <f t="shared" si="5"/>
        <v>58864.706339874378</v>
      </c>
      <c r="P36" s="89">
        <f t="shared" si="6"/>
        <v>37878.198646651625</v>
      </c>
      <c r="Q36" s="114">
        <f>AVERAGE(O36:O38)</f>
        <v>57721.435700733826</v>
      </c>
      <c r="R36" s="114">
        <f>AVERAGE(P36:P38)</f>
        <v>37368.576654215227</v>
      </c>
      <c r="S36" s="114">
        <f t="shared" si="7"/>
        <v>37.368576654215225</v>
      </c>
      <c r="T36" s="115">
        <f>_xlfn.STDEV.S(J36:J38)</f>
        <v>9.9117686950616499E-2</v>
      </c>
      <c r="U36" s="115">
        <f>_xlfn.STDEV.S(L36:L38)</f>
        <v>0.66173687015024807</v>
      </c>
      <c r="V36" s="115">
        <f>_xlfn.STDEV.S(P36:P38)/1000</f>
        <v>0.56554921883567411</v>
      </c>
    </row>
    <row r="37" spans="1:22" x14ac:dyDescent="0.25">
      <c r="C37" s="89" t="s">
        <v>36</v>
      </c>
      <c r="D37" s="89">
        <v>24.6294</v>
      </c>
      <c r="E37" s="89">
        <v>46.631500000000003</v>
      </c>
      <c r="F37" s="89">
        <v>25.8858</v>
      </c>
      <c r="G37" s="89">
        <v>25.077000000000002</v>
      </c>
      <c r="H37" s="89">
        <f t="shared" si="0"/>
        <v>22.002100000000002</v>
      </c>
      <c r="I37" s="89">
        <f t="shared" si="1"/>
        <v>1.2563999999999993</v>
      </c>
      <c r="J37" s="101">
        <f t="shared" si="2"/>
        <v>5.7103640107080649</v>
      </c>
      <c r="K37" s="89">
        <f t="shared" si="3"/>
        <v>0.80879999999999797</v>
      </c>
      <c r="L37" s="101">
        <f t="shared" si="4"/>
        <v>64.374403056351355</v>
      </c>
      <c r="O37" s="89">
        <f t="shared" si="5"/>
        <v>57103.640107080646</v>
      </c>
      <c r="P37" s="89">
        <f t="shared" si="6"/>
        <v>36760.127442380406</v>
      </c>
      <c r="Q37" s="101"/>
      <c r="R37" s="101">
        <f>R36/1000</f>
        <v>37.368576654215225</v>
      </c>
      <c r="S37" s="114"/>
      <c r="T37" s="115"/>
      <c r="U37" s="115"/>
      <c r="V37" s="115"/>
    </row>
    <row r="38" spans="1:22" x14ac:dyDescent="0.25">
      <c r="C38" s="89" t="s">
        <v>39</v>
      </c>
      <c r="D38" s="89">
        <v>22.920400000000001</v>
      </c>
      <c r="E38" s="89">
        <v>44.280299999999997</v>
      </c>
      <c r="F38" s="89">
        <v>24.142099999999999</v>
      </c>
      <c r="G38" s="89">
        <v>23.341799999999999</v>
      </c>
      <c r="H38" s="89">
        <f t="shared" si="0"/>
        <v>21.359899999999996</v>
      </c>
      <c r="I38" s="89">
        <f t="shared" si="1"/>
        <v>1.2216999999999985</v>
      </c>
      <c r="J38" s="101">
        <f t="shared" si="2"/>
        <v>5.7195960655246454</v>
      </c>
      <c r="K38" s="89">
        <f t="shared" si="3"/>
        <v>0.80030000000000001</v>
      </c>
      <c r="L38" s="101">
        <f t="shared" si="4"/>
        <v>65.507080297945578</v>
      </c>
      <c r="O38" s="89">
        <f t="shared" si="5"/>
        <v>57195.960655246454</v>
      </c>
      <c r="P38" s="89">
        <f t="shared" si="6"/>
        <v>37467.40387361365</v>
      </c>
      <c r="Q38" s="101"/>
      <c r="R38" s="101"/>
      <c r="S38" s="114"/>
      <c r="T38" s="115"/>
      <c r="U38" s="115"/>
      <c r="V38" s="115"/>
    </row>
    <row r="39" spans="1:22" x14ac:dyDescent="0.25">
      <c r="A39" s="94">
        <v>44314</v>
      </c>
      <c r="B39" s="118">
        <v>28</v>
      </c>
      <c r="C39" s="89" t="s">
        <v>36</v>
      </c>
      <c r="D39" s="89">
        <v>24.622699999999998</v>
      </c>
      <c r="E39" s="89">
        <v>46.134</v>
      </c>
      <c r="F39" s="89">
        <v>25.977</v>
      </c>
      <c r="G39" s="89">
        <v>25.135999999999999</v>
      </c>
      <c r="H39" s="89">
        <f t="shared" si="0"/>
        <v>21.511300000000002</v>
      </c>
      <c r="I39" s="89">
        <f t="shared" si="1"/>
        <v>1.3543000000000021</v>
      </c>
      <c r="J39" s="101">
        <f t="shared" si="2"/>
        <v>6.2957608326786474</v>
      </c>
      <c r="K39" s="89">
        <f t="shared" si="3"/>
        <v>0.84100000000000108</v>
      </c>
      <c r="L39" s="101">
        <f t="shared" si="4"/>
        <v>62.098501070663794</v>
      </c>
      <c r="M39" s="114">
        <f>AVERAGE(J39:J41)</f>
        <v>6.2502164624350849</v>
      </c>
      <c r="N39" s="114">
        <f>AVERAGE(L39:L41)</f>
        <v>61.43579010957405</v>
      </c>
      <c r="O39" s="89">
        <f t="shared" si="5"/>
        <v>62957.608326786474</v>
      </c>
      <c r="P39" s="89">
        <f t="shared" si="6"/>
        <v>39095.731080873826</v>
      </c>
      <c r="Q39" s="114">
        <f>AVERAGE(O39:O41)</f>
        <v>62502.164624350851</v>
      </c>
      <c r="R39" s="114">
        <f>AVERAGE(P39:P41)</f>
        <v>38416.993234669382</v>
      </c>
      <c r="S39" s="114">
        <f t="shared" si="7"/>
        <v>38.416993234669384</v>
      </c>
      <c r="T39" s="115">
        <f>_xlfn.STDEV.S(J39:J41)</f>
        <v>0.20067054906317772</v>
      </c>
      <c r="U39" s="115">
        <f>_xlfn.STDEV.S(L39:L41)</f>
        <v>1.4024712000274053</v>
      </c>
      <c r="V39" s="115">
        <f>_xlfn.STDEV.S(P39:P41)/1000</f>
        <v>2.0837928561294072</v>
      </c>
    </row>
    <row r="40" spans="1:22" x14ac:dyDescent="0.25">
      <c r="C40" s="89" t="s">
        <v>31</v>
      </c>
      <c r="D40" s="89">
        <v>25.588699999999999</v>
      </c>
      <c r="E40" s="89">
        <v>49.057000000000002</v>
      </c>
      <c r="F40" s="89">
        <v>27.004000000000001</v>
      </c>
      <c r="G40" s="89">
        <v>26.157299999999999</v>
      </c>
      <c r="H40" s="89">
        <f t="shared" si="0"/>
        <v>23.468300000000003</v>
      </c>
      <c r="I40" s="89">
        <f t="shared" si="1"/>
        <v>1.415300000000002</v>
      </c>
      <c r="J40" s="101">
        <f t="shared" si="2"/>
        <v>6.0306882049402892</v>
      </c>
      <c r="K40" s="89">
        <f t="shared" si="3"/>
        <v>0.84670000000000201</v>
      </c>
      <c r="L40" s="101">
        <f t="shared" si="4"/>
        <v>59.82477213311671</v>
      </c>
      <c r="M40" s="114"/>
      <c r="N40" s="114"/>
      <c r="O40" s="89">
        <f t="shared" si="5"/>
        <v>60306.882049402891</v>
      </c>
      <c r="P40" s="89">
        <f t="shared" si="6"/>
        <v>36078.454766642746</v>
      </c>
      <c r="Q40" s="114"/>
      <c r="R40" s="114"/>
      <c r="S40" s="114"/>
      <c r="T40" s="115"/>
      <c r="U40" s="115"/>
      <c r="V40" s="115"/>
    </row>
    <row r="41" spans="1:22" x14ac:dyDescent="0.25">
      <c r="C41" s="89" t="s">
        <v>33</v>
      </c>
      <c r="D41" s="89">
        <v>24.471699999999998</v>
      </c>
      <c r="E41" s="89">
        <v>47.806899999999999</v>
      </c>
      <c r="F41" s="89">
        <v>25.970800000000001</v>
      </c>
      <c r="G41" s="89">
        <v>25.035599999999999</v>
      </c>
      <c r="H41" s="89">
        <f t="shared" si="0"/>
        <v>23.3352</v>
      </c>
      <c r="I41" s="89">
        <f t="shared" si="1"/>
        <v>1.4991000000000021</v>
      </c>
      <c r="J41" s="101">
        <f t="shared" si="2"/>
        <v>6.4242003496863198</v>
      </c>
      <c r="K41" s="89">
        <f t="shared" si="3"/>
        <v>0.93520000000000181</v>
      </c>
      <c r="L41" s="101">
        <f t="shared" si="4"/>
        <v>62.384097124941661</v>
      </c>
      <c r="M41" s="114"/>
      <c r="N41" s="114"/>
      <c r="O41" s="89">
        <f t="shared" si="5"/>
        <v>64242.003496863195</v>
      </c>
      <c r="P41" s="89">
        <f t="shared" si="6"/>
        <v>40076.79385649156</v>
      </c>
      <c r="Q41" s="114"/>
      <c r="R41" s="114"/>
      <c r="S41" s="114"/>
      <c r="T41" s="115"/>
      <c r="U41" s="115"/>
      <c r="V41" s="115"/>
    </row>
    <row r="42" spans="1:22" x14ac:dyDescent="0.25">
      <c r="A42" s="94">
        <v>44316</v>
      </c>
      <c r="B42" s="89">
        <v>30</v>
      </c>
      <c r="C42" s="89">
        <v>82</v>
      </c>
      <c r="D42" s="89">
        <v>22.891400000000001</v>
      </c>
      <c r="E42" s="89">
        <v>43.140099999999997</v>
      </c>
      <c r="F42" s="89">
        <v>24.141500000000001</v>
      </c>
      <c r="G42" s="89">
        <v>23.377300000000002</v>
      </c>
      <c r="H42" s="89">
        <f t="shared" si="0"/>
        <v>20.248699999999996</v>
      </c>
      <c r="I42" s="89">
        <f t="shared" si="1"/>
        <v>1.2500999999999998</v>
      </c>
      <c r="J42" s="101">
        <f t="shared" si="2"/>
        <v>6.1737296715344687</v>
      </c>
      <c r="K42" s="89">
        <f t="shared" si="3"/>
        <v>0.76419999999999888</v>
      </c>
      <c r="L42" s="101">
        <f t="shared" si="4"/>
        <v>61.131109511239025</v>
      </c>
      <c r="M42" s="114">
        <f t="shared" ref="M42:M105" si="8">AVERAGE(J42:J44)</f>
        <v>6.1545645397615116</v>
      </c>
      <c r="N42" s="114">
        <f t="shared" ref="N42:N105" si="9">AVERAGE(L42:L44)</f>
        <v>60.36587656568161</v>
      </c>
      <c r="O42" s="89">
        <f t="shared" si="5"/>
        <v>61737.296715344688</v>
      </c>
      <c r="P42" s="89">
        <f t="shared" si="6"/>
        <v>37740.694464335938</v>
      </c>
      <c r="Q42" s="114">
        <f t="shared" ref="Q42:Q105" si="10">AVERAGE(O42:O44)</f>
        <v>61545.645397615102</v>
      </c>
      <c r="R42" s="114">
        <f>AVERAGE(P42:P44)</f>
        <v>37184.095241465919</v>
      </c>
      <c r="S42" s="114">
        <f t="shared" si="7"/>
        <v>37.184095241465918</v>
      </c>
      <c r="T42" s="115">
        <f t="shared" ref="T42:T105" si="11">_xlfn.STDEV.S(J42:J44)</f>
        <v>0.30383179519833242</v>
      </c>
      <c r="U42" s="115">
        <f t="shared" ref="U42:U105" si="12">_xlfn.STDEV.S(L42:L44)</f>
        <v>1.6605131280025538</v>
      </c>
      <c r="V42" s="115">
        <f t="shared" ref="V42:V105" si="13">_xlfn.STDEV.S(P42:P44)/1000</f>
        <v>2.7972027983744341</v>
      </c>
    </row>
    <row r="43" spans="1:22" x14ac:dyDescent="0.25">
      <c r="A43" s="94"/>
      <c r="C43" s="89" t="s">
        <v>30</v>
      </c>
      <c r="D43" s="89">
        <v>24.5122</v>
      </c>
      <c r="E43" s="89">
        <v>47.1327</v>
      </c>
      <c r="F43" s="89">
        <v>25.833600000000001</v>
      </c>
      <c r="G43" s="89">
        <v>25.0611</v>
      </c>
      <c r="H43" s="89">
        <f t="shared" si="0"/>
        <v>22.6205</v>
      </c>
      <c r="I43" s="89">
        <f t="shared" si="1"/>
        <v>1.3214000000000006</v>
      </c>
      <c r="J43" s="101">
        <f t="shared" si="2"/>
        <v>5.8416038549103719</v>
      </c>
      <c r="K43" s="89">
        <f t="shared" si="3"/>
        <v>0.77250000000000085</v>
      </c>
      <c r="L43" s="101">
        <f t="shared" si="4"/>
        <v>58.460723475102206</v>
      </c>
      <c r="M43" s="114"/>
      <c r="N43" s="114"/>
      <c r="O43" s="89">
        <f t="shared" si="5"/>
        <v>58416.038549103716</v>
      </c>
      <c r="P43" s="89">
        <f t="shared" si="6"/>
        <v>34150.438761300626</v>
      </c>
      <c r="Q43" s="114"/>
      <c r="R43" s="114"/>
      <c r="S43" s="114"/>
      <c r="T43" s="115"/>
      <c r="U43" s="115"/>
      <c r="V43" s="115"/>
    </row>
    <row r="44" spans="1:22" x14ac:dyDescent="0.25">
      <c r="A44" s="94"/>
      <c r="C44" s="89" t="s">
        <v>83</v>
      </c>
      <c r="D44" s="89">
        <v>25.5122</v>
      </c>
      <c r="E44" s="89">
        <v>48.519599999999997</v>
      </c>
      <c r="F44" s="89">
        <v>26.995799999999999</v>
      </c>
      <c r="G44" s="89">
        <v>26.083300000000001</v>
      </c>
      <c r="H44" s="89">
        <f t="shared" si="0"/>
        <v>23.007399999999997</v>
      </c>
      <c r="I44" s="89">
        <f t="shared" si="1"/>
        <v>1.4835999999999991</v>
      </c>
      <c r="J44" s="101">
        <f t="shared" si="2"/>
        <v>6.4483600928396916</v>
      </c>
      <c r="K44" s="89">
        <f t="shared" si="3"/>
        <v>0.91249999999999787</v>
      </c>
      <c r="L44" s="101">
        <f t="shared" si="4"/>
        <v>61.505796710703585</v>
      </c>
      <c r="M44" s="114"/>
      <c r="N44" s="114"/>
      <c r="O44" s="89">
        <f t="shared" si="5"/>
        <v>64483.600928396918</v>
      </c>
      <c r="P44" s="89">
        <f t="shared" si="6"/>
        <v>39661.152498761185</v>
      </c>
      <c r="Q44" s="114"/>
      <c r="R44" s="114"/>
      <c r="S44" s="114"/>
      <c r="T44" s="115"/>
      <c r="U44" s="115"/>
      <c r="V44" s="115"/>
    </row>
    <row r="45" spans="1:22" x14ac:dyDescent="0.25">
      <c r="A45" s="94">
        <v>44319</v>
      </c>
      <c r="B45" s="89">
        <v>33</v>
      </c>
      <c r="C45" s="89">
        <v>7</v>
      </c>
      <c r="D45" s="89">
        <v>41.545999999999999</v>
      </c>
      <c r="E45" s="89">
        <v>64.081599999999995</v>
      </c>
      <c r="F45" s="89">
        <v>42.766500000000001</v>
      </c>
      <c r="G45" s="89">
        <v>42.051400000000001</v>
      </c>
      <c r="H45" s="89">
        <f t="shared" si="0"/>
        <v>22.535599999999995</v>
      </c>
      <c r="I45" s="89">
        <f t="shared" si="1"/>
        <v>1.2205000000000013</v>
      </c>
      <c r="J45" s="101">
        <f t="shared" si="2"/>
        <v>5.4158753261506307</v>
      </c>
      <c r="K45" s="89">
        <f t="shared" si="3"/>
        <v>0.71509999999999962</v>
      </c>
      <c r="L45" s="101">
        <f t="shared" si="4"/>
        <v>58.590741499385402</v>
      </c>
      <c r="M45" s="114">
        <f t="shared" si="8"/>
        <v>5.1617514597630585</v>
      </c>
      <c r="N45" s="114">
        <f t="shared" si="9"/>
        <v>72.465648741083882</v>
      </c>
      <c r="O45" s="89">
        <f t="shared" si="5"/>
        <v>54158.75326150631</v>
      </c>
      <c r="P45" s="89">
        <f t="shared" si="6"/>
        <v>31732.015122739122</v>
      </c>
      <c r="Q45" s="114">
        <f t="shared" si="10"/>
        <v>51617.514597630587</v>
      </c>
      <c r="R45" s="114">
        <f>AVERAGE(P45:P47)</f>
        <v>35843.75401864756</v>
      </c>
      <c r="S45" s="114">
        <f t="shared" si="7"/>
        <v>35.843754018647559</v>
      </c>
      <c r="T45" s="115">
        <f>_xlfn.STDEV.S(J45:J47)</f>
        <v>1.2287929677390144</v>
      </c>
      <c r="U45" s="115">
        <f t="shared" si="12"/>
        <v>20.968134146434473</v>
      </c>
      <c r="V45" s="115">
        <f t="shared" si="13"/>
        <v>3.6848501832178271</v>
      </c>
    </row>
    <row r="46" spans="1:22" x14ac:dyDescent="0.25">
      <c r="A46" s="94"/>
      <c r="C46" s="89">
        <v>8</v>
      </c>
      <c r="D46" s="89">
        <v>52.673699999999997</v>
      </c>
      <c r="E46" s="89">
        <v>71.971800000000002</v>
      </c>
      <c r="F46" s="119">
        <v>53.411999999999999</v>
      </c>
      <c r="G46" s="89">
        <v>52.698900000000002</v>
      </c>
      <c r="H46" s="89">
        <f t="shared" si="0"/>
        <v>19.298100000000005</v>
      </c>
      <c r="I46" s="89">
        <f t="shared" si="1"/>
        <v>0.7383000000000024</v>
      </c>
      <c r="J46" s="101">
        <f t="shared" si="2"/>
        <v>3.8257652307740253</v>
      </c>
      <c r="K46" s="89">
        <f t="shared" si="3"/>
        <v>0.71309999999999718</v>
      </c>
      <c r="L46" s="101">
        <f t="shared" si="4"/>
        <v>96.586753352295119</v>
      </c>
      <c r="M46" s="114"/>
      <c r="N46" s="114"/>
      <c r="O46" s="89">
        <f>((F46-D46)/(H46))*1000000</f>
        <v>38257.652307740253</v>
      </c>
      <c r="P46" s="89">
        <f t="shared" si="6"/>
        <v>36951.824272855716</v>
      </c>
      <c r="Q46" s="114"/>
      <c r="R46" s="114"/>
      <c r="S46" s="114"/>
      <c r="T46" s="115"/>
      <c r="U46" s="115"/>
      <c r="V46" s="115"/>
    </row>
    <row r="47" spans="1:22" x14ac:dyDescent="0.25">
      <c r="A47" s="94"/>
      <c r="C47" s="89" t="s">
        <v>40</v>
      </c>
      <c r="D47" s="89">
        <v>23.904299999999999</v>
      </c>
      <c r="E47" s="89">
        <v>44.456499999999998</v>
      </c>
      <c r="F47" s="89">
        <v>25.1875</v>
      </c>
      <c r="G47" s="89">
        <v>24.389099999999999</v>
      </c>
      <c r="H47" s="89">
        <f t="shared" si="0"/>
        <v>20.552199999999999</v>
      </c>
      <c r="I47" s="89">
        <f t="shared" si="1"/>
        <v>1.2832000000000008</v>
      </c>
      <c r="J47" s="101">
        <f t="shared" si="2"/>
        <v>6.2436138223645195</v>
      </c>
      <c r="K47" s="89">
        <f t="shared" si="3"/>
        <v>0.79840000000000089</v>
      </c>
      <c r="L47" s="101">
        <f t="shared" si="4"/>
        <v>62.219451371571097</v>
      </c>
      <c r="M47" s="114"/>
      <c r="N47" s="114"/>
      <c r="O47" s="89">
        <f>((F47-D47)/(H47))*1000000</f>
        <v>62436.138223645197</v>
      </c>
      <c r="P47" s="89">
        <f t="shared" si="6"/>
        <v>38847.422660347846</v>
      </c>
      <c r="Q47" s="114"/>
      <c r="R47" s="114"/>
      <c r="S47" s="114"/>
      <c r="T47" s="115"/>
      <c r="U47" s="115"/>
      <c r="V47" s="115"/>
    </row>
    <row r="48" spans="1:22" x14ac:dyDescent="0.25">
      <c r="A48" s="94">
        <v>44321</v>
      </c>
      <c r="B48" s="89">
        <v>35</v>
      </c>
      <c r="C48" s="89" t="s">
        <v>95</v>
      </c>
      <c r="D48" s="89">
        <v>21.163799999999998</v>
      </c>
      <c r="E48" s="89">
        <v>40.357300000000002</v>
      </c>
      <c r="F48" s="89">
        <v>22.336400000000001</v>
      </c>
      <c r="G48" s="89">
        <v>21.618400000000001</v>
      </c>
      <c r="H48" s="89">
        <f t="shared" si="0"/>
        <v>19.193500000000004</v>
      </c>
      <c r="I48" s="89">
        <f t="shared" si="1"/>
        <v>1.1726000000000028</v>
      </c>
      <c r="J48" s="101">
        <f t="shared" si="2"/>
        <v>6.1093599395628857</v>
      </c>
      <c r="K48" s="89">
        <f t="shared" si="3"/>
        <v>0.71799999999999997</v>
      </c>
      <c r="L48" s="101">
        <f t="shared" si="4"/>
        <v>61.231451475353772</v>
      </c>
      <c r="M48" s="114">
        <f t="shared" si="8"/>
        <v>5.9826357952018592</v>
      </c>
      <c r="N48" s="114">
        <f t="shared" si="9"/>
        <v>60.854488857999478</v>
      </c>
      <c r="O48" s="89">
        <f t="shared" si="5"/>
        <v>61093.599395628858</v>
      </c>
      <c r="P48" s="89">
        <f t="shared" si="6"/>
        <v>37408.497668481505</v>
      </c>
      <c r="Q48" s="114">
        <f>AVERAGE(O48:O50)</f>
        <v>59826.357952018589</v>
      </c>
      <c r="R48" s="114">
        <f>AVERAGE(P48:P50)</f>
        <v>36419.604394710761</v>
      </c>
      <c r="S48" s="114">
        <f t="shared" si="7"/>
        <v>36.41960439471076</v>
      </c>
      <c r="T48" s="115">
        <f t="shared" si="11"/>
        <v>0.23530095987072849</v>
      </c>
      <c r="U48" s="115">
        <f t="shared" si="12"/>
        <v>0.80375735510033808</v>
      </c>
      <c r="V48" s="115">
        <f t="shared" si="13"/>
        <v>1.9012609964371465</v>
      </c>
    </row>
    <row r="49" spans="1:22" x14ac:dyDescent="0.25">
      <c r="A49" s="94"/>
      <c r="C49" s="89" t="s">
        <v>39</v>
      </c>
      <c r="D49" s="89">
        <v>25.430099999999999</v>
      </c>
      <c r="E49" s="89">
        <v>46.912700000000001</v>
      </c>
      <c r="F49" s="89">
        <v>26.657</v>
      </c>
      <c r="G49" s="89">
        <v>25.921700000000001</v>
      </c>
      <c r="H49" s="89">
        <f t="shared" si="0"/>
        <v>21.482600000000001</v>
      </c>
      <c r="I49" s="89">
        <f t="shared" si="1"/>
        <v>1.2269000000000005</v>
      </c>
      <c r="J49" s="101">
        <f t="shared" si="2"/>
        <v>5.7111336616610675</v>
      </c>
      <c r="K49" s="89">
        <f t="shared" si="3"/>
        <v>0.73529999999999873</v>
      </c>
      <c r="L49" s="101">
        <f t="shared" si="4"/>
        <v>59.9315347624092</v>
      </c>
      <c r="M49" s="114"/>
      <c r="N49" s="114"/>
      <c r="O49" s="89">
        <f t="shared" si="5"/>
        <v>57111.336616610672</v>
      </c>
      <c r="P49" s="89">
        <f t="shared" si="6"/>
        <v>34227.700557660559</v>
      </c>
      <c r="Q49" s="114"/>
      <c r="R49" s="114"/>
      <c r="S49" s="114"/>
      <c r="T49" s="115"/>
      <c r="U49" s="115"/>
      <c r="V49" s="115"/>
    </row>
    <row r="50" spans="1:22" x14ac:dyDescent="0.25">
      <c r="A50" s="94"/>
      <c r="C50" s="89">
        <v>25</v>
      </c>
      <c r="D50" s="89">
        <v>25.689800000000002</v>
      </c>
      <c r="E50" s="89">
        <v>47.434699999999999</v>
      </c>
      <c r="F50" s="89">
        <v>27.022200000000002</v>
      </c>
      <c r="G50" s="89">
        <v>26.2041</v>
      </c>
      <c r="H50" s="89">
        <f t="shared" si="0"/>
        <v>21.744899999999998</v>
      </c>
      <c r="I50" s="89">
        <f t="shared" si="1"/>
        <v>1.3323999999999998</v>
      </c>
      <c r="J50" s="101">
        <f t="shared" si="2"/>
        <v>6.1274137843816243</v>
      </c>
      <c r="K50" s="89">
        <f t="shared" si="3"/>
        <v>0.81810000000000116</v>
      </c>
      <c r="L50" s="101">
        <f t="shared" si="4"/>
        <v>61.400480336235461</v>
      </c>
      <c r="M50" s="114"/>
      <c r="N50" s="114"/>
      <c r="O50" s="89">
        <f t="shared" si="5"/>
        <v>61274.137843816243</v>
      </c>
      <c r="P50" s="89">
        <f t="shared" si="6"/>
        <v>37622.614957990205</v>
      </c>
      <c r="Q50" s="114"/>
      <c r="R50" s="114"/>
      <c r="S50" s="114"/>
      <c r="T50" s="115"/>
      <c r="U50" s="115"/>
      <c r="V50" s="115"/>
    </row>
    <row r="51" spans="1:22" x14ac:dyDescent="0.25">
      <c r="A51" s="94">
        <v>44323</v>
      </c>
      <c r="B51" s="118">
        <v>37</v>
      </c>
      <c r="C51" s="89" t="s">
        <v>82</v>
      </c>
      <c r="D51" s="89">
        <v>25.6448</v>
      </c>
      <c r="E51" s="89">
        <v>48.519799999999996</v>
      </c>
      <c r="F51" s="89">
        <v>27.0228</v>
      </c>
      <c r="G51" s="89">
        <v>26.170300000000001</v>
      </c>
      <c r="H51" s="89">
        <f t="shared" si="0"/>
        <v>22.874999999999996</v>
      </c>
      <c r="I51" s="89">
        <f t="shared" si="1"/>
        <v>1.3780000000000001</v>
      </c>
      <c r="J51" s="101">
        <f t="shared" si="2"/>
        <v>6.0240437158469957</v>
      </c>
      <c r="K51" s="89">
        <f t="shared" si="3"/>
        <v>0.85249999999999915</v>
      </c>
      <c r="L51" s="101">
        <f t="shared" si="4"/>
        <v>61.865021770682084</v>
      </c>
      <c r="M51" s="114">
        <f t="shared" si="8"/>
        <v>6.0952401467211574</v>
      </c>
      <c r="N51" s="114">
        <f t="shared" si="9"/>
        <v>62.050851957003978</v>
      </c>
      <c r="O51" s="89">
        <f t="shared" si="5"/>
        <v>60240.437158469962</v>
      </c>
      <c r="P51" s="89">
        <f t="shared" si="6"/>
        <v>37267.7595628415</v>
      </c>
      <c r="Q51" s="114">
        <f t="shared" si="10"/>
        <v>60952.401467211574</v>
      </c>
      <c r="R51" s="114">
        <f t="shared" ref="R51:R114" si="14">AVERAGE(P51:P53)</f>
        <v>37880.320283280031</v>
      </c>
      <c r="S51" s="114">
        <f t="shared" si="7"/>
        <v>37.880320283280028</v>
      </c>
      <c r="T51" s="115">
        <f t="shared" si="11"/>
        <v>0.36143351604372193</v>
      </c>
      <c r="U51" s="115">
        <f t="shared" si="12"/>
        <v>2.4555138610353056</v>
      </c>
      <c r="V51" s="115">
        <f t="shared" si="13"/>
        <v>3.7530410388168027</v>
      </c>
    </row>
    <row r="52" spans="1:22" x14ac:dyDescent="0.25">
      <c r="A52" s="94"/>
      <c r="C52" s="89" t="s">
        <v>31</v>
      </c>
      <c r="D52" s="89">
        <v>25.572199999999999</v>
      </c>
      <c r="E52" s="89">
        <v>48.626199999999997</v>
      </c>
      <c r="F52" s="89">
        <v>26.903500000000001</v>
      </c>
      <c r="G52" s="89">
        <v>26.108799999999999</v>
      </c>
      <c r="H52" s="89">
        <f t="shared" si="0"/>
        <v>23.053999999999998</v>
      </c>
      <c r="I52" s="89">
        <f t="shared" si="1"/>
        <v>1.3313000000000024</v>
      </c>
      <c r="J52" s="101">
        <f t="shared" si="2"/>
        <v>5.7747028715190529</v>
      </c>
      <c r="K52" s="89">
        <f t="shared" si="3"/>
        <v>0.7947000000000024</v>
      </c>
      <c r="L52" s="101">
        <f t="shared" si="4"/>
        <v>59.693532637271915</v>
      </c>
      <c r="M52" s="114"/>
      <c r="N52" s="114"/>
      <c r="O52" s="89">
        <f t="shared" si="5"/>
        <v>57747.028715190529</v>
      </c>
      <c r="P52" s="89">
        <f t="shared" si="6"/>
        <v>34471.241433157047</v>
      </c>
      <c r="Q52" s="114"/>
      <c r="R52" s="114"/>
      <c r="S52" s="114"/>
      <c r="T52" s="115"/>
      <c r="U52" s="115"/>
      <c r="V52" s="115"/>
    </row>
    <row r="53" spans="1:22" x14ac:dyDescent="0.25">
      <c r="A53" s="94"/>
      <c r="C53" s="89" t="s">
        <v>79</v>
      </c>
      <c r="D53" s="89">
        <v>25.422000000000001</v>
      </c>
      <c r="E53" s="89">
        <v>46.494999999999997</v>
      </c>
      <c r="F53" s="89">
        <v>26.789000000000001</v>
      </c>
      <c r="G53" s="89">
        <v>25.905999999999999</v>
      </c>
      <c r="H53" s="89">
        <f t="shared" si="0"/>
        <v>21.072999999999997</v>
      </c>
      <c r="I53" s="89">
        <f t="shared" si="1"/>
        <v>1.3670000000000009</v>
      </c>
      <c r="J53" s="101">
        <f t="shared" si="2"/>
        <v>6.4869738527974228</v>
      </c>
      <c r="K53" s="89">
        <f t="shared" si="3"/>
        <v>0.88300000000000267</v>
      </c>
      <c r="L53" s="101">
        <f t="shared" si="4"/>
        <v>64.59400146305795</v>
      </c>
      <c r="M53" s="114"/>
      <c r="N53" s="114"/>
      <c r="O53" s="89">
        <f t="shared" si="5"/>
        <v>64869.73852797423</v>
      </c>
      <c r="P53" s="89">
        <f t="shared" si="6"/>
        <v>41901.959853841545</v>
      </c>
      <c r="Q53" s="114"/>
      <c r="R53" s="114"/>
      <c r="S53" s="114"/>
      <c r="T53" s="115"/>
      <c r="U53" s="115"/>
      <c r="V53" s="115"/>
    </row>
    <row r="54" spans="1:22" x14ac:dyDescent="0.25">
      <c r="A54" s="94">
        <v>44326</v>
      </c>
      <c r="B54" s="89">
        <v>40</v>
      </c>
      <c r="C54" s="89" t="s">
        <v>35</v>
      </c>
      <c r="D54" s="89">
        <v>24.617000000000001</v>
      </c>
      <c r="E54" s="89">
        <v>44.910400000000003</v>
      </c>
      <c r="F54" s="89">
        <v>25.886299999999999</v>
      </c>
      <c r="G54" s="89">
        <v>25.0791</v>
      </c>
      <c r="H54" s="89">
        <f t="shared" si="0"/>
        <v>20.293400000000002</v>
      </c>
      <c r="I54" s="89">
        <f t="shared" si="1"/>
        <v>1.2692999999999977</v>
      </c>
      <c r="J54" s="101">
        <f t="shared" si="2"/>
        <v>6.2547429213438726</v>
      </c>
      <c r="K54" s="89">
        <f t="shared" si="3"/>
        <v>0.80719999999999814</v>
      </c>
      <c r="L54" s="101">
        <f t="shared" si="4"/>
        <v>63.594106988103647</v>
      </c>
      <c r="M54" s="114">
        <f t="shared" si="8"/>
        <v>6.2849582133048782</v>
      </c>
      <c r="N54" s="114">
        <f t="shared" si="9"/>
        <v>63.960789618171788</v>
      </c>
      <c r="O54" s="89">
        <f t="shared" si="5"/>
        <v>62547.429213438729</v>
      </c>
      <c r="P54" s="89">
        <f t="shared" si="6"/>
        <v>39776.479052302624</v>
      </c>
      <c r="Q54" s="114">
        <f t="shared" si="10"/>
        <v>62849.582133048789</v>
      </c>
      <c r="R54" s="114">
        <f t="shared" si="14"/>
        <v>40199.93341194684</v>
      </c>
      <c r="S54" s="114">
        <f t="shared" si="7"/>
        <v>40.199933411946837</v>
      </c>
      <c r="T54" s="115">
        <f t="shared" si="11"/>
        <v>3.5105771249660113E-2</v>
      </c>
      <c r="U54" s="115">
        <f t="shared" si="12"/>
        <v>0.36809751107681099</v>
      </c>
      <c r="V54" s="115">
        <f t="shared" si="13"/>
        <v>0.4538555653271264</v>
      </c>
    </row>
    <row r="55" spans="1:22" x14ac:dyDescent="0.25">
      <c r="A55" s="94"/>
      <c r="C55" s="89" t="s">
        <v>40</v>
      </c>
      <c r="D55" s="89">
        <v>23.892600000000002</v>
      </c>
      <c r="E55" s="89">
        <v>45.687600000000003</v>
      </c>
      <c r="F55" s="89">
        <v>25.270800000000001</v>
      </c>
      <c r="G55" s="89">
        <v>24.3842</v>
      </c>
      <c r="H55" s="89">
        <f t="shared" si="0"/>
        <v>21.795000000000002</v>
      </c>
      <c r="I55" s="89">
        <f t="shared" si="1"/>
        <v>1.3781999999999996</v>
      </c>
      <c r="J55" s="101">
        <f t="shared" si="2"/>
        <v>6.3234686854783186</v>
      </c>
      <c r="K55" s="89">
        <f t="shared" si="3"/>
        <v>0.88660000000000139</v>
      </c>
      <c r="L55" s="101">
        <f t="shared" si="4"/>
        <v>64.330285880133616</v>
      </c>
      <c r="M55" s="114"/>
      <c r="N55" s="114"/>
      <c r="O55" s="89">
        <f t="shared" si="5"/>
        <v>63234.686854783184</v>
      </c>
      <c r="P55" s="89">
        <f t="shared" si="6"/>
        <v>40679.054829089306</v>
      </c>
      <c r="Q55" s="114"/>
      <c r="R55" s="114"/>
      <c r="S55" s="114"/>
      <c r="T55" s="115"/>
      <c r="U55" s="115"/>
      <c r="V55" s="115"/>
    </row>
    <row r="56" spans="1:22" x14ac:dyDescent="0.25">
      <c r="A56" s="94"/>
      <c r="C56" s="89" t="s">
        <v>30</v>
      </c>
      <c r="D56" s="89">
        <v>24.510100000000001</v>
      </c>
      <c r="E56" s="89">
        <v>46.802199999999999</v>
      </c>
      <c r="F56" s="89">
        <v>25.909300000000002</v>
      </c>
      <c r="G56" s="89">
        <v>25.014399999999998</v>
      </c>
      <c r="H56" s="89">
        <f t="shared" si="0"/>
        <v>22.292099999999998</v>
      </c>
      <c r="I56" s="89">
        <f t="shared" si="1"/>
        <v>1.3992000000000004</v>
      </c>
      <c r="J56" s="101">
        <f t="shared" si="2"/>
        <v>6.2766630330924427</v>
      </c>
      <c r="K56" s="89">
        <f t="shared" si="3"/>
        <v>0.89490000000000336</v>
      </c>
      <c r="L56" s="101">
        <f t="shared" si="4"/>
        <v>63.957975986278093</v>
      </c>
      <c r="M56" s="114"/>
      <c r="N56" s="114"/>
      <c r="O56" s="89">
        <f t="shared" si="5"/>
        <v>62766.630330924432</v>
      </c>
      <c r="P56" s="89">
        <f t="shared" si="6"/>
        <v>40144.266354448591</v>
      </c>
      <c r="Q56" s="114"/>
      <c r="R56" s="114"/>
      <c r="S56" s="114"/>
      <c r="T56" s="115"/>
      <c r="U56" s="115"/>
      <c r="V56" s="115"/>
    </row>
    <row r="57" spans="1:22" x14ac:dyDescent="0.25">
      <c r="A57" s="94">
        <v>44328</v>
      </c>
      <c r="B57" s="89">
        <v>42</v>
      </c>
      <c r="C57" s="89" t="s">
        <v>91</v>
      </c>
      <c r="D57" s="89">
        <v>42.212499999999999</v>
      </c>
      <c r="E57" s="89">
        <v>64.041499999999999</v>
      </c>
      <c r="F57" s="89">
        <v>43.487400000000001</v>
      </c>
      <c r="G57" s="89">
        <v>42.6038</v>
      </c>
      <c r="H57" s="89">
        <f>(E57-D57)</f>
        <v>21.829000000000001</v>
      </c>
      <c r="I57" s="89">
        <f t="shared" si="1"/>
        <v>1.2749000000000024</v>
      </c>
      <c r="J57" s="101">
        <f t="shared" si="2"/>
        <v>5.8403958037473194</v>
      </c>
      <c r="K57" s="89">
        <f>I57-(G57-D57)</f>
        <v>0.88360000000000127</v>
      </c>
      <c r="L57" s="101">
        <f t="shared" si="4"/>
        <v>69.30739665856143</v>
      </c>
      <c r="M57" s="114">
        <f>AVERAGE(J57:J59)</f>
        <v>5.3354511335720325</v>
      </c>
      <c r="N57" s="114">
        <f>AVERAGE(L57:L59)</f>
        <v>62.338622618462352</v>
      </c>
      <c r="O57" s="89">
        <f t="shared" si="5"/>
        <v>58403.958037473189</v>
      </c>
      <c r="P57" s="89">
        <f t="shared" si="6"/>
        <v>40478.262861331314</v>
      </c>
      <c r="Q57" s="114">
        <f t="shared" si="10"/>
        <v>53354.51133572033</v>
      </c>
      <c r="R57" s="114">
        <f t="shared" si="14"/>
        <v>33980.980860084957</v>
      </c>
      <c r="S57" s="114">
        <f t="shared" si="7"/>
        <v>33.980980860084955</v>
      </c>
      <c r="T57" s="115">
        <f t="shared" si="11"/>
        <v>1.0407383954737477</v>
      </c>
      <c r="U57" s="115">
        <f t="shared" si="12"/>
        <v>10.546790880742215</v>
      </c>
      <c r="V57" s="115">
        <f t="shared" si="13"/>
        <v>11.434920097751684</v>
      </c>
    </row>
    <row r="58" spans="1:22" x14ac:dyDescent="0.25">
      <c r="A58" s="94"/>
      <c r="C58" s="89" t="s">
        <v>96</v>
      </c>
      <c r="D58" s="89">
        <v>46.201500000000003</v>
      </c>
      <c r="E58" s="89">
        <v>66.843900000000005</v>
      </c>
      <c r="F58" s="89">
        <v>47.055799999999998</v>
      </c>
      <c r="G58" s="89">
        <v>46.626899999999999</v>
      </c>
      <c r="H58" s="89">
        <f>(E58-D58)</f>
        <v>20.642400000000002</v>
      </c>
      <c r="I58" s="89">
        <f>(F58-D58)</f>
        <v>0.85429999999999495</v>
      </c>
      <c r="J58" s="101">
        <f t="shared" si="2"/>
        <v>4.1385691586249411</v>
      </c>
      <c r="K58" s="89">
        <f>I58-(G58-D58)</f>
        <v>0.42889999999999873</v>
      </c>
      <c r="L58" s="101">
        <f>(K58/I58)*100</f>
        <v>50.204846072808294</v>
      </c>
      <c r="M58" s="114"/>
      <c r="N58" s="114"/>
      <c r="O58" s="89">
        <f t="shared" si="5"/>
        <v>41385.691586249413</v>
      </c>
      <c r="P58" s="89">
        <f t="shared" si="6"/>
        <v>20777.622757043689</v>
      </c>
      <c r="Q58" s="114"/>
      <c r="R58" s="114"/>
      <c r="S58" s="114"/>
      <c r="T58" s="115"/>
      <c r="U58" s="115"/>
      <c r="V58" s="115"/>
    </row>
    <row r="59" spans="1:22" x14ac:dyDescent="0.25">
      <c r="A59" s="94"/>
      <c r="C59" s="89">
        <v>1</v>
      </c>
      <c r="D59" s="89">
        <v>36.243099999999998</v>
      </c>
      <c r="E59" s="89">
        <v>57.982199999999999</v>
      </c>
      <c r="F59" s="89">
        <v>37.553400000000003</v>
      </c>
      <c r="G59" s="89">
        <v>36.668900000000001</v>
      </c>
      <c r="H59" s="89">
        <f t="shared" si="0"/>
        <v>21.739100000000001</v>
      </c>
      <c r="I59" s="89">
        <f>(F59-D59)</f>
        <v>1.3103000000000051</v>
      </c>
      <c r="J59" s="101">
        <f t="shared" si="2"/>
        <v>6.027388438343837</v>
      </c>
      <c r="K59" s="89">
        <f t="shared" si="3"/>
        <v>0.88450000000000273</v>
      </c>
      <c r="L59" s="101">
        <f t="shared" si="4"/>
        <v>67.503625124017347</v>
      </c>
      <c r="M59" s="114"/>
      <c r="N59" s="114"/>
      <c r="O59" s="89">
        <f t="shared" si="5"/>
        <v>60273.884383438373</v>
      </c>
      <c r="P59" s="89">
        <f t="shared" si="6"/>
        <v>40687.056961879876</v>
      </c>
      <c r="Q59" s="114"/>
      <c r="R59" s="114"/>
      <c r="S59" s="114"/>
      <c r="T59" s="115"/>
      <c r="U59" s="115"/>
      <c r="V59" s="115"/>
    </row>
    <row r="60" spans="1:22" x14ac:dyDescent="0.25">
      <c r="A60" s="94">
        <v>44330</v>
      </c>
      <c r="B60" s="89">
        <v>44</v>
      </c>
      <c r="C60" s="89">
        <v>4</v>
      </c>
      <c r="D60" s="89">
        <v>19.9908</v>
      </c>
      <c r="E60" s="89">
        <v>40.645600000000002</v>
      </c>
      <c r="F60" s="89">
        <v>21.269400000000001</v>
      </c>
      <c r="G60" s="89">
        <v>20.456299999999999</v>
      </c>
      <c r="H60" s="89">
        <f t="shared" si="0"/>
        <v>20.654800000000002</v>
      </c>
      <c r="I60" s="89">
        <f t="shared" si="1"/>
        <v>1.2786000000000008</v>
      </c>
      <c r="J60" s="101">
        <f t="shared" si="2"/>
        <v>6.1903286403160562</v>
      </c>
      <c r="K60" s="89">
        <f t="shared" si="3"/>
        <v>0.81310000000000215</v>
      </c>
      <c r="L60" s="101">
        <f t="shared" si="4"/>
        <v>63.592992335366937</v>
      </c>
      <c r="M60" s="114">
        <f t="shared" si="8"/>
        <v>6.1184302340350776</v>
      </c>
      <c r="N60" s="114">
        <f t="shared" si="9"/>
        <v>63.057284988795196</v>
      </c>
      <c r="O60" s="89">
        <f t="shared" si="5"/>
        <v>61903.286403160564</v>
      </c>
      <c r="P60" s="89">
        <f t="shared" si="6"/>
        <v>39366.152177702141</v>
      </c>
      <c r="Q60" s="114">
        <f t="shared" si="10"/>
        <v>61184.302340350776</v>
      </c>
      <c r="R60" s="114">
        <f t="shared" si="14"/>
        <v>38626.881450249872</v>
      </c>
      <c r="S60" s="114">
        <f t="shared" si="7"/>
        <v>38.626881450249869</v>
      </c>
      <c r="T60" s="115">
        <f t="shared" si="11"/>
        <v>0.31846505871362624</v>
      </c>
      <c r="U60" s="115">
        <f t="shared" si="12"/>
        <v>2.1539715575619889</v>
      </c>
      <c r="V60" s="115">
        <f t="shared" si="13"/>
        <v>3.3030706340638392</v>
      </c>
    </row>
    <row r="61" spans="1:22" x14ac:dyDescent="0.25">
      <c r="A61" s="94"/>
      <c r="C61" s="89">
        <v>12</v>
      </c>
      <c r="D61" s="89">
        <v>18.8599</v>
      </c>
      <c r="E61" s="89">
        <v>40.535200000000003</v>
      </c>
      <c r="F61" s="89">
        <v>20.110600000000002</v>
      </c>
      <c r="G61" s="89">
        <v>19.351600000000001</v>
      </c>
      <c r="H61" s="89">
        <f t="shared" si="0"/>
        <v>21.675300000000004</v>
      </c>
      <c r="I61" s="89">
        <f t="shared" si="1"/>
        <v>1.2507000000000019</v>
      </c>
      <c r="J61" s="101">
        <f t="shared" si="2"/>
        <v>5.7701623506941155</v>
      </c>
      <c r="K61" s="89">
        <f t="shared" si="3"/>
        <v>0.75900000000000034</v>
      </c>
      <c r="L61" s="101">
        <f t="shared" si="4"/>
        <v>60.686015831134497</v>
      </c>
      <c r="M61" s="114"/>
      <c r="N61" s="114"/>
      <c r="O61" s="89">
        <f t="shared" si="5"/>
        <v>57701.623506941156</v>
      </c>
      <c r="P61" s="89">
        <f t="shared" si="6"/>
        <v>35016.816376243936</v>
      </c>
      <c r="Q61" s="114"/>
      <c r="R61" s="114"/>
      <c r="S61" s="114"/>
      <c r="T61" s="115"/>
      <c r="U61" s="115"/>
      <c r="V61" s="115"/>
    </row>
    <row r="62" spans="1:22" x14ac:dyDescent="0.25">
      <c r="A62" s="94"/>
      <c r="C62" s="89" t="s">
        <v>95</v>
      </c>
      <c r="D62" s="89">
        <v>21.1616</v>
      </c>
      <c r="E62" s="89">
        <v>42.760399999999997</v>
      </c>
      <c r="F62" s="89">
        <v>22.5428</v>
      </c>
      <c r="G62" s="89">
        <v>21.6465</v>
      </c>
      <c r="H62" s="89">
        <f t="shared" si="0"/>
        <v>21.598799999999997</v>
      </c>
      <c r="I62" s="89">
        <f t="shared" si="1"/>
        <v>1.3811999999999998</v>
      </c>
      <c r="J62" s="101">
        <f t="shared" si="2"/>
        <v>6.3947997110950601</v>
      </c>
      <c r="K62" s="89">
        <f t="shared" si="3"/>
        <v>0.8963000000000001</v>
      </c>
      <c r="L62" s="101">
        <f>(K62/I62)*100</f>
        <v>64.892846799884168</v>
      </c>
      <c r="M62" s="114"/>
      <c r="N62" s="114"/>
      <c r="O62" s="89">
        <f t="shared" si="5"/>
        <v>63947.9971109506</v>
      </c>
      <c r="P62" s="89">
        <f>((F62-G62)/(H62))*1000000</f>
        <v>41497.675796803538</v>
      </c>
      <c r="Q62" s="114"/>
      <c r="R62" s="114"/>
      <c r="S62" s="114"/>
      <c r="T62" s="115"/>
      <c r="U62" s="115"/>
      <c r="V62" s="115"/>
    </row>
    <row r="63" spans="1:22" x14ac:dyDescent="0.25">
      <c r="A63" s="94">
        <v>44333</v>
      </c>
      <c r="B63" s="89">
        <v>47</v>
      </c>
      <c r="C63" s="89" t="s">
        <v>40</v>
      </c>
      <c r="D63" s="89">
        <v>23.895</v>
      </c>
      <c r="E63" s="89">
        <v>44.767099999999999</v>
      </c>
      <c r="F63" s="89">
        <v>25.129000000000001</v>
      </c>
      <c r="G63" s="89">
        <v>24.355</v>
      </c>
      <c r="H63" s="89">
        <f t="shared" si="0"/>
        <v>20.8721</v>
      </c>
      <c r="I63" s="89">
        <f t="shared" si="1"/>
        <v>1.2340000000000018</v>
      </c>
      <c r="J63" s="101">
        <f t="shared" si="2"/>
        <v>5.9121985808807054</v>
      </c>
      <c r="K63" s="89">
        <f>I63-(G63-D63)</f>
        <v>0.77400000000000091</v>
      </c>
      <c r="L63" s="101">
        <f t="shared" ref="L63:L126" si="15">(K63/I63)*100</f>
        <v>62.722852512155583</v>
      </c>
      <c r="M63" s="114">
        <f t="shared" si="8"/>
        <v>5.6786651008025499</v>
      </c>
      <c r="N63" s="114">
        <f>AVERAGE(L63:L65)</f>
        <v>67.412017954166757</v>
      </c>
      <c r="O63" s="89">
        <f t="shared" si="5"/>
        <v>59121.985808807061</v>
      </c>
      <c r="P63" s="89">
        <f t="shared" ref="P63:P125" si="16">((F63-G63)/(H63))*1000000</f>
        <v>37082.995961115601</v>
      </c>
      <c r="Q63" s="114">
        <f t="shared" si="10"/>
        <v>56786.651008025488</v>
      </c>
      <c r="R63" s="114">
        <f>AVERAGE(P63:P65)</f>
        <v>37996.097075106976</v>
      </c>
      <c r="S63" s="114">
        <f t="shared" si="7"/>
        <v>37.996097075106974</v>
      </c>
      <c r="T63" s="115">
        <f t="shared" si="11"/>
        <v>0.70273725225938211</v>
      </c>
      <c r="U63" s="115">
        <f t="shared" si="12"/>
        <v>6.5429406295994896</v>
      </c>
      <c r="V63" s="115">
        <f t="shared" si="13"/>
        <v>2.0039178728652156</v>
      </c>
    </row>
    <row r="64" spans="1:22" x14ac:dyDescent="0.25">
      <c r="A64" s="94"/>
      <c r="C64" s="89" t="s">
        <v>36</v>
      </c>
      <c r="D64" s="89">
        <v>24.822700000000001</v>
      </c>
      <c r="E64" s="89">
        <v>46.5045</v>
      </c>
      <c r="F64" s="89">
        <v>25.8827</v>
      </c>
      <c r="G64" s="89">
        <v>25.088899999999999</v>
      </c>
      <c r="H64" s="89">
        <f t="shared" si="0"/>
        <v>21.681799999999999</v>
      </c>
      <c r="I64" s="89">
        <f t="shared" si="1"/>
        <v>1.0599999999999987</v>
      </c>
      <c r="J64" s="101">
        <f t="shared" si="2"/>
        <v>4.8888929885895029</v>
      </c>
      <c r="K64" s="89">
        <f t="shared" si="3"/>
        <v>0.79380000000000095</v>
      </c>
      <c r="L64" s="101">
        <f t="shared" si="15"/>
        <v>74.886792452830363</v>
      </c>
      <c r="M64" s="114"/>
      <c r="N64" s="114"/>
      <c r="O64" s="89">
        <f t="shared" si="5"/>
        <v>48888.929885895028</v>
      </c>
      <c r="P64" s="89">
        <f t="shared" si="16"/>
        <v>36611.351456059965</v>
      </c>
      <c r="Q64" s="114"/>
      <c r="R64" s="114"/>
      <c r="S64" s="114"/>
      <c r="T64" s="115"/>
      <c r="U64" s="115"/>
      <c r="V64" s="115"/>
    </row>
    <row r="65" spans="1:22" x14ac:dyDescent="0.25">
      <c r="A65" s="94"/>
      <c r="C65" s="89" t="s">
        <v>97</v>
      </c>
      <c r="D65" s="89">
        <v>43.668399999999998</v>
      </c>
      <c r="E65" s="89">
        <v>65.155500000000004</v>
      </c>
      <c r="F65" s="89">
        <v>45.008099999999999</v>
      </c>
      <c r="G65" s="89">
        <v>44.142299999999999</v>
      </c>
      <c r="H65" s="89">
        <f t="shared" si="0"/>
        <v>21.487100000000005</v>
      </c>
      <c r="I65" s="89">
        <f t="shared" si="1"/>
        <v>1.3397000000000006</v>
      </c>
      <c r="J65" s="101">
        <f t="shared" si="2"/>
        <v>6.2349037329374379</v>
      </c>
      <c r="K65" s="89">
        <f t="shared" si="3"/>
        <v>0.86580000000000013</v>
      </c>
      <c r="L65" s="101">
        <f t="shared" si="15"/>
        <v>64.626408897514352</v>
      </c>
      <c r="M65" s="114"/>
      <c r="N65" s="114"/>
      <c r="O65" s="89">
        <f t="shared" si="5"/>
        <v>62349.037329374376</v>
      </c>
      <c r="P65" s="89">
        <f t="shared" si="16"/>
        <v>40293.943808145348</v>
      </c>
      <c r="Q65" s="114"/>
      <c r="R65" s="114"/>
      <c r="S65" s="114"/>
      <c r="T65" s="115"/>
      <c r="U65" s="115"/>
      <c r="V65" s="115"/>
    </row>
    <row r="66" spans="1:22" x14ac:dyDescent="0.25">
      <c r="A66" s="94">
        <v>44335</v>
      </c>
      <c r="B66" s="89">
        <v>49</v>
      </c>
      <c r="C66" s="89" t="s">
        <v>35</v>
      </c>
      <c r="D66" s="89">
        <v>24.641100000000002</v>
      </c>
      <c r="E66" s="89">
        <v>46.561399999999999</v>
      </c>
      <c r="F66" s="89">
        <v>25.969200000000001</v>
      </c>
      <c r="G66" s="89">
        <v>25.165500000000002</v>
      </c>
      <c r="H66" s="89">
        <f t="shared" si="0"/>
        <v>21.920299999999997</v>
      </c>
      <c r="I66" s="89">
        <f t="shared" si="1"/>
        <v>1.3280999999999992</v>
      </c>
      <c r="J66" s="101">
        <f t="shared" si="2"/>
        <v>6.0587674438762216</v>
      </c>
      <c r="K66" s="89">
        <f t="shared" si="3"/>
        <v>0.80369999999999919</v>
      </c>
      <c r="L66" s="101">
        <f>(K66/I66)*100</f>
        <v>60.515021459227448</v>
      </c>
      <c r="M66" s="114">
        <f t="shared" si="8"/>
        <v>6.1197129225308187</v>
      </c>
      <c r="N66" s="114">
        <f t="shared" si="9"/>
        <v>61.041683121440741</v>
      </c>
      <c r="O66" s="89">
        <f t="shared" si="5"/>
        <v>60587.674438762217</v>
      </c>
      <c r="P66" s="89">
        <f t="shared" si="16"/>
        <v>36664.644188263817</v>
      </c>
      <c r="Q66" s="114">
        <f t="shared" si="10"/>
        <v>61197.129225308185</v>
      </c>
      <c r="R66" s="114">
        <f t="shared" si="14"/>
        <v>37379.12479739447</v>
      </c>
      <c r="S66" s="114">
        <f t="shared" si="7"/>
        <v>37.379124797394468</v>
      </c>
      <c r="T66" s="115">
        <f t="shared" si="11"/>
        <v>0.2253834867724612</v>
      </c>
      <c r="U66" s="115">
        <f t="shared" si="12"/>
        <v>1.5580270786677697</v>
      </c>
      <c r="V66" s="115">
        <f t="shared" si="13"/>
        <v>2.3427200438333391</v>
      </c>
    </row>
    <row r="67" spans="1:22" x14ac:dyDescent="0.25">
      <c r="A67" s="94"/>
      <c r="C67" s="89" t="s">
        <v>95</v>
      </c>
      <c r="D67" s="89">
        <v>21.160599999999999</v>
      </c>
      <c r="E67" s="89">
        <v>40.142000000000003</v>
      </c>
      <c r="F67" s="89">
        <v>22.2864</v>
      </c>
      <c r="G67" s="89">
        <v>21.613</v>
      </c>
      <c r="H67" s="89">
        <f t="shared" si="0"/>
        <v>18.981400000000004</v>
      </c>
      <c r="I67" s="89">
        <f t="shared" si="1"/>
        <v>1.1258000000000017</v>
      </c>
      <c r="J67" s="101">
        <f t="shared" si="2"/>
        <v>5.9310693626392226</v>
      </c>
      <c r="K67" s="89">
        <f t="shared" ref="K67:K130" si="17">I67-(G67-D67)</f>
        <v>0.67340000000000089</v>
      </c>
      <c r="L67" s="101">
        <f t="shared" si="15"/>
        <v>59.815242494226318</v>
      </c>
      <c r="M67" s="114"/>
      <c r="N67" s="114"/>
      <c r="O67" s="89">
        <f t="shared" si="5"/>
        <v>59310.693626392225</v>
      </c>
      <c r="P67" s="89">
        <f t="shared" si="16"/>
        <v>35476.835217634143</v>
      </c>
      <c r="Q67" s="114"/>
      <c r="R67" s="114"/>
      <c r="S67" s="114"/>
      <c r="T67" s="115"/>
      <c r="U67" s="115"/>
      <c r="V67" s="115"/>
    </row>
    <row r="68" spans="1:22" x14ac:dyDescent="0.25">
      <c r="A68" s="94"/>
      <c r="C68" s="89" t="s">
        <v>98</v>
      </c>
      <c r="D68" s="89">
        <v>25.649899999999999</v>
      </c>
      <c r="E68" s="89">
        <v>47.0871</v>
      </c>
      <c r="F68" s="89">
        <v>27.0153</v>
      </c>
      <c r="G68" s="89">
        <v>26.157900000000001</v>
      </c>
      <c r="H68" s="89">
        <f t="shared" si="0"/>
        <v>21.437200000000001</v>
      </c>
      <c r="I68" s="89">
        <f t="shared" si="1"/>
        <v>1.3654000000000011</v>
      </c>
      <c r="J68" s="101">
        <f t="shared" si="2"/>
        <v>6.3693019610770101</v>
      </c>
      <c r="K68" s="89">
        <f t="shared" si="17"/>
        <v>0.85739999999999839</v>
      </c>
      <c r="L68" s="101">
        <f t="shared" si="15"/>
        <v>62.79478541086845</v>
      </c>
      <c r="M68" s="114"/>
      <c r="N68" s="114"/>
      <c r="O68" s="89">
        <f t="shared" si="5"/>
        <v>63693.019610770105</v>
      </c>
      <c r="P68" s="89">
        <f t="shared" si="16"/>
        <v>39995.89498628545</v>
      </c>
      <c r="Q68" s="114"/>
      <c r="R68" s="114"/>
      <c r="S68" s="114"/>
      <c r="T68" s="115"/>
      <c r="U68" s="115"/>
      <c r="V68" s="115"/>
    </row>
    <row r="69" spans="1:22" x14ac:dyDescent="0.25">
      <c r="A69" s="94">
        <v>44337</v>
      </c>
      <c r="B69" s="89">
        <v>51</v>
      </c>
      <c r="C69" s="89" t="s">
        <v>31</v>
      </c>
      <c r="D69" s="89">
        <v>25.570599999999999</v>
      </c>
      <c r="E69" s="89">
        <v>43.6526</v>
      </c>
      <c r="F69" s="89">
        <v>26.592400000000001</v>
      </c>
      <c r="G69" s="89">
        <v>26.007999999999999</v>
      </c>
      <c r="H69" s="89">
        <f t="shared" si="0"/>
        <v>18.082000000000001</v>
      </c>
      <c r="I69" s="89">
        <f t="shared" si="1"/>
        <v>1.0218000000000025</v>
      </c>
      <c r="J69" s="101">
        <f t="shared" si="2"/>
        <v>5.6509235704015177</v>
      </c>
      <c r="K69" s="89">
        <f t="shared" si="17"/>
        <v>0.58440000000000225</v>
      </c>
      <c r="L69" s="101">
        <f t="shared" si="15"/>
        <v>57.193188490898493</v>
      </c>
      <c r="M69" s="114">
        <f t="shared" si="8"/>
        <v>6.1533299446357139</v>
      </c>
      <c r="N69" s="114">
        <f t="shared" si="9"/>
        <v>59.800243797008996</v>
      </c>
      <c r="O69" s="89">
        <f t="shared" si="5"/>
        <v>56509.235704015176</v>
      </c>
      <c r="P69" s="89">
        <f t="shared" si="16"/>
        <v>32319.433690963509</v>
      </c>
      <c r="Q69" s="114">
        <f t="shared" si="10"/>
        <v>61533.299446357145</v>
      </c>
      <c r="R69" s="114">
        <f t="shared" si="14"/>
        <v>36860.7658918538</v>
      </c>
      <c r="S69" s="114">
        <f t="shared" ref="S69:S129" si="18">((R69*1)/1000)</f>
        <v>36.860765891853802</v>
      </c>
      <c r="T69" s="115">
        <f t="shared" si="11"/>
        <v>0.43653365154342283</v>
      </c>
      <c r="U69" s="115">
        <f t="shared" si="12"/>
        <v>2.3814643694739153</v>
      </c>
      <c r="V69" s="115">
        <f t="shared" si="13"/>
        <v>3.9420907951167954</v>
      </c>
    </row>
    <row r="70" spans="1:22" x14ac:dyDescent="0.25">
      <c r="A70" s="94"/>
      <c r="C70" s="89" t="s">
        <v>83</v>
      </c>
      <c r="D70" s="89">
        <v>25.522300000000001</v>
      </c>
      <c r="E70" s="89">
        <v>44.177799999999998</v>
      </c>
      <c r="F70" s="89">
        <v>26.723700000000001</v>
      </c>
      <c r="G70" s="89">
        <v>25.998699999999999</v>
      </c>
      <c r="H70" s="89">
        <f t="shared" si="0"/>
        <v>18.655499999999996</v>
      </c>
      <c r="I70" s="89">
        <f t="shared" si="1"/>
        <v>1.2013999999999996</v>
      </c>
      <c r="J70" s="101">
        <f t="shared" si="2"/>
        <v>6.4399238830371726</v>
      </c>
      <c r="K70" s="89">
        <f t="shared" si="17"/>
        <v>0.72500000000000142</v>
      </c>
      <c r="L70" s="101">
        <f t="shared" si="15"/>
        <v>60.346262693524366</v>
      </c>
      <c r="M70" s="114"/>
      <c r="N70" s="114"/>
      <c r="O70" s="89">
        <f t="shared" si="5"/>
        <v>64399.238830371731</v>
      </c>
      <c r="P70" s="89">
        <f t="shared" si="16"/>
        <v>38862.533837206269</v>
      </c>
      <c r="Q70" s="114"/>
      <c r="R70" s="114"/>
      <c r="S70" s="114"/>
      <c r="T70" s="115"/>
      <c r="U70" s="115"/>
      <c r="V70" s="115"/>
    </row>
    <row r="71" spans="1:22" x14ac:dyDescent="0.25">
      <c r="A71" s="94"/>
      <c r="C71" s="89" t="s">
        <v>85</v>
      </c>
      <c r="D71" s="89">
        <v>38.819299999999998</v>
      </c>
      <c r="E71" s="89">
        <v>55.841999999999999</v>
      </c>
      <c r="F71" s="89">
        <v>39.903500000000001</v>
      </c>
      <c r="G71" s="89">
        <v>39.232799999999997</v>
      </c>
      <c r="H71" s="89">
        <f t="shared" si="0"/>
        <v>17.0227</v>
      </c>
      <c r="I71" s="89">
        <f t="shared" si="1"/>
        <v>1.0842000000000027</v>
      </c>
      <c r="J71" s="101">
        <f t="shared" si="2"/>
        <v>6.3691423804684497</v>
      </c>
      <c r="K71" s="89">
        <f t="shared" si="17"/>
        <v>0.67070000000000363</v>
      </c>
      <c r="L71" s="101">
        <f t="shared" si="15"/>
        <v>61.861280206604128</v>
      </c>
      <c r="M71" s="114"/>
      <c r="N71" s="114"/>
      <c r="O71" s="89">
        <f t="shared" si="5"/>
        <v>63691.423804684498</v>
      </c>
      <c r="P71" s="89">
        <f t="shared" si="16"/>
        <v>39400.330147391636</v>
      </c>
      <c r="Q71" s="114"/>
      <c r="R71" s="114"/>
      <c r="S71" s="114"/>
      <c r="T71" s="115"/>
      <c r="U71" s="115"/>
      <c r="V71" s="115"/>
    </row>
    <row r="72" spans="1:22" x14ac:dyDescent="0.25">
      <c r="A72" s="94">
        <v>44340</v>
      </c>
      <c r="B72" s="89">
        <v>54</v>
      </c>
      <c r="C72" s="89">
        <v>7</v>
      </c>
      <c r="D72" s="89">
        <v>41.488599999999998</v>
      </c>
      <c r="E72" s="89">
        <v>64.197999999999993</v>
      </c>
      <c r="F72" s="89">
        <v>42.6738</v>
      </c>
      <c r="G72" s="89">
        <v>41.968200000000003</v>
      </c>
      <c r="H72" s="89">
        <f t="shared" si="0"/>
        <v>22.709399999999995</v>
      </c>
      <c r="I72" s="89">
        <f t="shared" si="1"/>
        <v>1.1852000000000018</v>
      </c>
      <c r="J72" s="101">
        <f t="shared" si="2"/>
        <v>5.2189842091821097</v>
      </c>
      <c r="K72" s="89">
        <f t="shared" si="17"/>
        <v>0.7055999999999969</v>
      </c>
      <c r="L72" s="101">
        <f t="shared" si="15"/>
        <v>59.534255821801871</v>
      </c>
      <c r="M72" s="114">
        <f t="shared" si="8"/>
        <v>5.1754922574084068</v>
      </c>
      <c r="N72" s="114">
        <f t="shared" si="9"/>
        <v>58.462441295421293</v>
      </c>
      <c r="O72" s="89">
        <f t="shared" si="5"/>
        <v>52189.842091821098</v>
      </c>
      <c r="P72" s="89">
        <f t="shared" si="16"/>
        <v>31070.834103939207</v>
      </c>
      <c r="Q72" s="114">
        <f t="shared" si="10"/>
        <v>51754.92257408407</v>
      </c>
      <c r="R72" s="114">
        <f t="shared" si="14"/>
        <v>30256.20412189257</v>
      </c>
      <c r="S72" s="114">
        <f t="shared" si="18"/>
        <v>30.256204121892569</v>
      </c>
      <c r="T72" s="115">
        <f t="shared" si="11"/>
        <v>7.5966540242484046E-2</v>
      </c>
      <c r="U72" s="115">
        <f t="shared" si="12"/>
        <v>1.1961137653399849</v>
      </c>
      <c r="V72" s="115">
        <f t="shared" si="13"/>
        <v>0.70552151341840996</v>
      </c>
    </row>
    <row r="73" spans="1:22" x14ac:dyDescent="0.25">
      <c r="A73" s="94"/>
      <c r="C73" s="89" t="s">
        <v>91</v>
      </c>
      <c r="D73" s="89">
        <v>42.214599999999997</v>
      </c>
      <c r="E73" s="89">
        <v>65.574100000000001</v>
      </c>
      <c r="F73" s="89">
        <v>43.433900000000001</v>
      </c>
      <c r="G73" s="89">
        <v>42.736800000000002</v>
      </c>
      <c r="H73" s="89">
        <f t="shared" si="0"/>
        <v>23.359500000000004</v>
      </c>
      <c r="I73" s="89">
        <f t="shared" si="1"/>
        <v>1.219300000000004</v>
      </c>
      <c r="J73" s="101">
        <f t="shared" si="2"/>
        <v>5.2197178877972723</v>
      </c>
      <c r="K73" s="89">
        <f t="shared" si="17"/>
        <v>0.69709999999999894</v>
      </c>
      <c r="L73" s="101">
        <f t="shared" si="15"/>
        <v>57.172147953743682</v>
      </c>
      <c r="M73" s="114"/>
      <c r="N73" s="114"/>
      <c r="O73" s="89">
        <f t="shared" si="5"/>
        <v>52197.178877972729</v>
      </c>
      <c r="P73" s="89">
        <f t="shared" si="16"/>
        <v>29842.248335794808</v>
      </c>
      <c r="Q73" s="114">
        <f t="shared" si="10"/>
        <v>52423.076101240935</v>
      </c>
      <c r="R73" s="114"/>
      <c r="S73" s="114"/>
      <c r="T73" s="115">
        <f t="shared" si="11"/>
        <v>0.16697778177392048</v>
      </c>
      <c r="U73" s="115">
        <f t="shared" si="12"/>
        <v>2.5555685256280221</v>
      </c>
      <c r="V73" s="115">
        <f t="shared" si="13"/>
        <v>2.2146890623850557</v>
      </c>
    </row>
    <row r="74" spans="1:22" x14ac:dyDescent="0.25">
      <c r="A74" s="94"/>
      <c r="C74" s="89">
        <v>8</v>
      </c>
      <c r="D74" s="89">
        <v>52.225999999999999</v>
      </c>
      <c r="E74" s="89">
        <v>72.8185</v>
      </c>
      <c r="F74" s="89">
        <v>53.273699999999998</v>
      </c>
      <c r="G74" s="89">
        <v>52.658900000000003</v>
      </c>
      <c r="H74" s="89">
        <f t="shared" si="0"/>
        <v>20.592500000000001</v>
      </c>
      <c r="I74" s="89">
        <f t="shared" si="1"/>
        <v>1.047699999999999</v>
      </c>
      <c r="J74" s="101">
        <f t="shared" si="2"/>
        <v>5.0877746752458366</v>
      </c>
      <c r="K74" s="89">
        <f t="shared" si="17"/>
        <v>0.61479999999999535</v>
      </c>
      <c r="L74" s="101">
        <f t="shared" si="15"/>
        <v>58.680920110718326</v>
      </c>
      <c r="M74" s="114"/>
      <c r="N74" s="114"/>
      <c r="O74" s="89">
        <f t="shared" si="5"/>
        <v>50877.74675245837</v>
      </c>
      <c r="P74" s="89">
        <f t="shared" si="16"/>
        <v>29855.529925943683</v>
      </c>
      <c r="Q74" s="114">
        <f t="shared" si="10"/>
        <v>51922.638557847684</v>
      </c>
      <c r="R74" s="114"/>
      <c r="S74" s="114"/>
      <c r="T74" s="115">
        <f t="shared" si="11"/>
        <v>0.19694195895088984</v>
      </c>
      <c r="U74" s="115">
        <f t="shared" si="12"/>
        <v>1.9124586444680534</v>
      </c>
      <c r="V74" s="115">
        <f t="shared" si="13"/>
        <v>2.1903263975378846</v>
      </c>
    </row>
    <row r="75" spans="1:22" x14ac:dyDescent="0.25">
      <c r="A75" s="94">
        <v>44342</v>
      </c>
      <c r="B75" s="89">
        <v>56</v>
      </c>
      <c r="C75" s="89">
        <v>87</v>
      </c>
      <c r="D75" s="89">
        <v>22.891500000000001</v>
      </c>
      <c r="E75" s="89">
        <v>45.13</v>
      </c>
      <c r="F75" s="89">
        <v>24.096699999999998</v>
      </c>
      <c r="G75" s="89">
        <v>23.3476</v>
      </c>
      <c r="H75" s="89">
        <f t="shared" si="0"/>
        <v>22.238500000000002</v>
      </c>
      <c r="I75" s="89">
        <f t="shared" si="1"/>
        <v>1.2051999999999978</v>
      </c>
      <c r="J75" s="101">
        <f t="shared" si="2"/>
        <v>5.4194302673291714</v>
      </c>
      <c r="K75" s="89">
        <f t="shared" si="17"/>
        <v>0.74909999999999854</v>
      </c>
      <c r="L75" s="101">
        <f t="shared" si="15"/>
        <v>62.155658811815464</v>
      </c>
      <c r="M75" s="114">
        <f t="shared" si="8"/>
        <v>5.3455842328599799</v>
      </c>
      <c r="N75" s="114">
        <f t="shared" si="9"/>
        <v>61.053793436343824</v>
      </c>
      <c r="O75" s="89">
        <f t="shared" si="5"/>
        <v>54194.302673291713</v>
      </c>
      <c r="P75" s="89">
        <f t="shared" si="16"/>
        <v>33684.825865053783</v>
      </c>
      <c r="Q75" s="114">
        <f t="shared" si="10"/>
        <v>53455.8423285998</v>
      </c>
      <c r="R75" s="114">
        <f t="shared" si="14"/>
        <v>32664.304192618594</v>
      </c>
      <c r="S75" s="114">
        <f t="shared" si="18"/>
        <v>32.664304192618594</v>
      </c>
      <c r="T75" s="115">
        <f t="shared" si="11"/>
        <v>0.24748047921672953</v>
      </c>
      <c r="U75" s="115">
        <f t="shared" si="12"/>
        <v>1.7518750663159781</v>
      </c>
      <c r="V75" s="115">
        <f t="shared" si="13"/>
        <v>2.395409290389491</v>
      </c>
    </row>
    <row r="76" spans="1:22" x14ac:dyDescent="0.25">
      <c r="A76" s="94"/>
      <c r="C76" s="89" t="s">
        <v>33</v>
      </c>
      <c r="D76" s="89">
        <v>24.467600000000001</v>
      </c>
      <c r="E76" s="89">
        <v>48.595799999999997</v>
      </c>
      <c r="F76" s="89">
        <v>25.690799999999999</v>
      </c>
      <c r="G76" s="89">
        <v>24.968699999999998</v>
      </c>
      <c r="H76" s="89">
        <f t="shared" si="0"/>
        <v>24.128199999999996</v>
      </c>
      <c r="I76" s="89">
        <f t="shared" si="1"/>
        <v>1.2231999999999985</v>
      </c>
      <c r="J76" s="101">
        <f t="shared" si="2"/>
        <v>5.0695866247792987</v>
      </c>
      <c r="K76" s="89">
        <f t="shared" si="17"/>
        <v>0.72210000000000107</v>
      </c>
      <c r="L76" s="101">
        <f t="shared" si="15"/>
        <v>59.033682145193097</v>
      </c>
      <c r="M76" s="114"/>
      <c r="N76" s="114"/>
      <c r="O76" s="89">
        <f t="shared" si="5"/>
        <v>50695.86624779299</v>
      </c>
      <c r="P76" s="89">
        <f t="shared" si="16"/>
        <v>29927.636541474341</v>
      </c>
      <c r="Q76" s="114">
        <f t="shared" si="10"/>
        <v>50683.036017235536</v>
      </c>
      <c r="R76" s="114"/>
      <c r="S76" s="114"/>
      <c r="T76" s="115">
        <f t="shared" si="11"/>
        <v>0.48007500212984244</v>
      </c>
      <c r="U76" s="115">
        <f t="shared" si="12"/>
        <v>1.5282305030139975</v>
      </c>
      <c r="V76" s="115">
        <f t="shared" si="13"/>
        <v>3.5243734206358424</v>
      </c>
    </row>
    <row r="77" spans="1:22" x14ac:dyDescent="0.25">
      <c r="A77" s="94"/>
      <c r="C77" s="89" t="s">
        <v>30</v>
      </c>
      <c r="D77" s="89">
        <v>25.651499999999999</v>
      </c>
      <c r="E77" s="89">
        <v>50.02</v>
      </c>
      <c r="F77" s="89">
        <v>27.003399999999999</v>
      </c>
      <c r="G77" s="89">
        <v>26.165600000000001</v>
      </c>
      <c r="H77" s="89">
        <f t="shared" si="0"/>
        <v>24.368500000000004</v>
      </c>
      <c r="I77" s="89">
        <f t="shared" si="1"/>
        <v>1.3519000000000005</v>
      </c>
      <c r="J77" s="101">
        <f t="shared" si="2"/>
        <v>5.5477358064714704</v>
      </c>
      <c r="K77" s="89">
        <f t="shared" si="17"/>
        <v>0.83779999999999788</v>
      </c>
      <c r="L77" s="101">
        <f t="shared" si="15"/>
        <v>61.972039352022904</v>
      </c>
      <c r="M77" s="114"/>
      <c r="N77" s="114"/>
      <c r="O77" s="89">
        <f t="shared" si="5"/>
        <v>55477.358064714703</v>
      </c>
      <c r="P77" s="89">
        <f t="shared" si="16"/>
        <v>34380.450171327648</v>
      </c>
      <c r="Q77" s="114">
        <f t="shared" si="10"/>
        <v>46307.183543997271</v>
      </c>
      <c r="R77" s="114"/>
      <c r="S77" s="114"/>
      <c r="T77" s="115">
        <f t="shared" si="11"/>
        <v>0.89623114084081457</v>
      </c>
      <c r="U77" s="115">
        <f t="shared" si="12"/>
        <v>1.5129728888891831</v>
      </c>
      <c r="V77" s="115">
        <f t="shared" si="13"/>
        <v>5.4899757864589445</v>
      </c>
    </row>
    <row r="78" spans="1:22" x14ac:dyDescent="0.25">
      <c r="A78" s="94">
        <v>44344</v>
      </c>
      <c r="B78" s="89">
        <v>58</v>
      </c>
      <c r="C78" s="89">
        <v>8</v>
      </c>
      <c r="D78" s="89">
        <v>52.233899999999998</v>
      </c>
      <c r="E78" s="89">
        <v>75.784400000000005</v>
      </c>
      <c r="F78" s="89">
        <v>53.314300000000003</v>
      </c>
      <c r="G78" s="89">
        <v>52.668500000000002</v>
      </c>
      <c r="H78" s="89">
        <f t="shared" si="0"/>
        <v>23.550500000000007</v>
      </c>
      <c r="I78" s="89">
        <f t="shared" si="1"/>
        <v>1.0804000000000045</v>
      </c>
      <c r="J78" s="101">
        <f t="shared" si="2"/>
        <v>4.5875883739198917</v>
      </c>
      <c r="K78" s="89">
        <f t="shared" si="17"/>
        <v>0.64580000000000126</v>
      </c>
      <c r="L78" s="101">
        <f t="shared" si="15"/>
        <v>59.77415771936306</v>
      </c>
      <c r="M78" s="114">
        <f t="shared" si="8"/>
        <v>4.6659489852104077</v>
      </c>
      <c r="N78" s="114">
        <f t="shared" si="9"/>
        <v>62.272660499035034</v>
      </c>
      <c r="O78" s="89">
        <f t="shared" si="5"/>
        <v>45875.883739198915</v>
      </c>
      <c r="P78" s="89">
        <f t="shared" si="16"/>
        <v>27421.923101420398</v>
      </c>
      <c r="Q78" s="114">
        <f t="shared" si="10"/>
        <v>46659.489852104081</v>
      </c>
      <c r="R78" s="114">
        <f t="shared" si="14"/>
        <v>29119.482229148951</v>
      </c>
      <c r="S78" s="114">
        <f t="shared" si="18"/>
        <v>29.11948222914895</v>
      </c>
      <c r="T78" s="115">
        <f t="shared" si="11"/>
        <v>0.95072349279769808</v>
      </c>
      <c r="U78" s="115">
        <f t="shared" si="12"/>
        <v>2.3238696173776443</v>
      </c>
      <c r="V78" s="115">
        <f t="shared" si="13"/>
        <v>6.588703364183397</v>
      </c>
    </row>
    <row r="79" spans="1:22" x14ac:dyDescent="0.25">
      <c r="A79" s="94"/>
      <c r="C79" s="89" t="s">
        <v>83</v>
      </c>
      <c r="D79" s="89">
        <v>25.556100000000001</v>
      </c>
      <c r="E79" s="89">
        <v>49.802599999999998</v>
      </c>
      <c r="F79" s="89">
        <v>26.466999999999999</v>
      </c>
      <c r="G79" s="89">
        <v>25.896100000000001</v>
      </c>
      <c r="H79" s="89">
        <f t="shared" si="0"/>
        <v>24.246499999999997</v>
      </c>
      <c r="I79" s="89">
        <f t="shared" si="1"/>
        <v>0.91089999999999804</v>
      </c>
      <c r="J79" s="101">
        <f t="shared" si="2"/>
        <v>3.7568308828078205</v>
      </c>
      <c r="K79" s="89">
        <f t="shared" si="17"/>
        <v>0.57089999999999819</v>
      </c>
      <c r="L79" s="101">
        <f t="shared" si="15"/>
        <v>62.674278186408984</v>
      </c>
      <c r="M79" s="114"/>
      <c r="N79" s="114"/>
      <c r="O79" s="89">
        <f t="shared" si="5"/>
        <v>37568.308828078203</v>
      </c>
      <c r="P79" s="89">
        <f t="shared" si="16"/>
        <v>23545.666384838976</v>
      </c>
      <c r="Q79" s="114">
        <f t="shared" si="10"/>
        <v>48302.56738490986</v>
      </c>
      <c r="R79" s="114"/>
      <c r="S79" s="114"/>
      <c r="T79" s="115">
        <f t="shared" si="11"/>
        <v>0.97274894251357091</v>
      </c>
      <c r="U79" s="115">
        <f t="shared" si="12"/>
        <v>1.6580460157396115</v>
      </c>
      <c r="V79" s="115">
        <f t="shared" si="13"/>
        <v>6.7431231271619376</v>
      </c>
    </row>
    <row r="80" spans="1:22" x14ac:dyDescent="0.25">
      <c r="A80" s="94"/>
      <c r="C80" s="89" t="s">
        <v>95</v>
      </c>
      <c r="D80" s="89">
        <v>21.160599999999999</v>
      </c>
      <c r="E80" s="89">
        <v>44.671999999999997</v>
      </c>
      <c r="F80" s="89">
        <v>22.489799999999999</v>
      </c>
      <c r="G80" s="89">
        <v>21.6342</v>
      </c>
      <c r="H80" s="89">
        <f t="shared" si="0"/>
        <v>23.511399999999998</v>
      </c>
      <c r="I80" s="89">
        <f t="shared" si="1"/>
        <v>1.3292000000000002</v>
      </c>
      <c r="J80" s="101">
        <f t="shared" si="2"/>
        <v>5.6534276989035117</v>
      </c>
      <c r="K80" s="89">
        <f t="shared" si="17"/>
        <v>0.85559999999999903</v>
      </c>
      <c r="L80" s="101">
        <f t="shared" si="15"/>
        <v>64.369545591333051</v>
      </c>
      <c r="M80" s="114"/>
      <c r="N80" s="114"/>
      <c r="O80" s="89">
        <f t="shared" si="5"/>
        <v>56534.276989035119</v>
      </c>
      <c r="P80" s="89">
        <f t="shared" si="16"/>
        <v>36390.857201187471</v>
      </c>
      <c r="Q80" s="114">
        <f t="shared" si="10"/>
        <v>51379.833320853475</v>
      </c>
      <c r="R80" s="114"/>
      <c r="S80" s="114"/>
      <c r="T80" s="115">
        <f t="shared" si="11"/>
        <v>0.48924679686264255</v>
      </c>
      <c r="U80" s="115">
        <f t="shared" si="12"/>
        <v>3.1545591234646815</v>
      </c>
      <c r="V80" s="115">
        <f t="shared" si="13"/>
        <v>1.8336375487959005</v>
      </c>
    </row>
    <row r="81" spans="1:22" x14ac:dyDescent="0.25">
      <c r="A81" s="94">
        <v>44347</v>
      </c>
      <c r="B81" s="89">
        <v>61</v>
      </c>
      <c r="C81" s="89" t="s">
        <v>31</v>
      </c>
      <c r="D81" s="89">
        <v>25.5808</v>
      </c>
      <c r="E81" s="89">
        <v>46.236199999999997</v>
      </c>
      <c r="F81" s="89">
        <v>26.630199999999999</v>
      </c>
      <c r="G81" s="89">
        <v>25.9377</v>
      </c>
      <c r="H81" s="89">
        <f t="shared" si="0"/>
        <v>20.655399999999997</v>
      </c>
      <c r="I81" s="89">
        <f t="shared" si="1"/>
        <v>1.0493999999999986</v>
      </c>
      <c r="J81" s="101">
        <f t="shared" si="2"/>
        <v>5.080511633761625</v>
      </c>
      <c r="K81" s="89">
        <f t="shared" si="17"/>
        <v>0.69249999999999901</v>
      </c>
      <c r="L81" s="101">
        <f t="shared" si="15"/>
        <v>65.990089574995238</v>
      </c>
      <c r="M81" s="114">
        <f t="shared" si="8"/>
        <v>4.9622741486469808</v>
      </c>
      <c r="N81" s="114">
        <f t="shared" si="9"/>
        <v>67.873485147242377</v>
      </c>
      <c r="O81" s="89">
        <f t="shared" si="5"/>
        <v>50805.116337616251</v>
      </c>
      <c r="P81" s="89">
        <f t="shared" si="16"/>
        <v>33526.341779873503</v>
      </c>
      <c r="Q81" s="114">
        <f t="shared" si="10"/>
        <v>49622.7414864698</v>
      </c>
      <c r="R81" s="114">
        <f t="shared" si="14"/>
        <v>33645.075529398979</v>
      </c>
      <c r="S81" s="114">
        <f t="shared" si="18"/>
        <v>33.64507552939898</v>
      </c>
      <c r="T81" s="115">
        <f t="shared" si="11"/>
        <v>0.24551711400534115</v>
      </c>
      <c r="U81" s="115">
        <f t="shared" si="12"/>
        <v>2.3166754943622858</v>
      </c>
      <c r="V81" s="115">
        <f t="shared" si="13"/>
        <v>0.73613667431917318</v>
      </c>
    </row>
    <row r="82" spans="1:22" x14ac:dyDescent="0.25">
      <c r="A82" s="94"/>
      <c r="C82" s="89">
        <v>2</v>
      </c>
      <c r="D82" s="89">
        <v>36.341799999999999</v>
      </c>
      <c r="E82" s="89">
        <v>54.722099999999998</v>
      </c>
      <c r="F82" s="89">
        <v>37.201999999999998</v>
      </c>
      <c r="G82" s="89">
        <v>36.5959</v>
      </c>
      <c r="H82" s="89">
        <f t="shared" si="0"/>
        <v>18.380299999999998</v>
      </c>
      <c r="I82" s="89">
        <f t="shared" si="1"/>
        <v>0.86019999999999897</v>
      </c>
      <c r="J82" s="101">
        <f t="shared" si="2"/>
        <v>4.6800106635909051</v>
      </c>
      <c r="K82" s="89">
        <f t="shared" si="17"/>
        <v>0.60609999999999786</v>
      </c>
      <c r="L82" s="101">
        <f t="shared" si="15"/>
        <v>70.460358056265832</v>
      </c>
      <c r="M82" s="114"/>
      <c r="N82" s="114"/>
      <c r="O82" s="89">
        <f t="shared" si="5"/>
        <v>46800.106635909047</v>
      </c>
      <c r="P82" s="89">
        <f t="shared" si="16"/>
        <v>32975.522706375734</v>
      </c>
      <c r="Q82" s="114">
        <f t="shared" si="10"/>
        <v>48735.677104019647</v>
      </c>
      <c r="R82" s="114"/>
      <c r="S82" s="114"/>
      <c r="T82" s="115">
        <f t="shared" si="11"/>
        <v>0.22895386284829841</v>
      </c>
      <c r="U82" s="115">
        <f t="shared" si="12"/>
        <v>45.986667843842653</v>
      </c>
      <c r="V82" s="115">
        <f t="shared" si="13"/>
        <v>21.806335220858628</v>
      </c>
    </row>
    <row r="83" spans="1:22" x14ac:dyDescent="0.25">
      <c r="A83" s="94"/>
      <c r="C83" s="89" t="s">
        <v>39</v>
      </c>
      <c r="D83" s="89">
        <v>25.427199999999999</v>
      </c>
      <c r="E83" s="89">
        <v>47.9054</v>
      </c>
      <c r="F83" s="89">
        <v>26.579499999999999</v>
      </c>
      <c r="G83" s="89">
        <v>25.805499999999999</v>
      </c>
      <c r="H83" s="89">
        <f t="shared" si="0"/>
        <v>22.478200000000001</v>
      </c>
      <c r="I83" s="89">
        <f t="shared" si="1"/>
        <v>1.1523000000000003</v>
      </c>
      <c r="J83" s="101">
        <f t="shared" si="2"/>
        <v>5.1263001485884114</v>
      </c>
      <c r="K83" s="89">
        <f t="shared" si="17"/>
        <v>0.77400000000000091</v>
      </c>
      <c r="L83" s="101">
        <f t="shared" si="15"/>
        <v>67.170007810466075</v>
      </c>
      <c r="M83" s="114"/>
      <c r="N83" s="114"/>
      <c r="O83" s="89">
        <f t="shared" si="5"/>
        <v>51263.00148588411</v>
      </c>
      <c r="P83" s="89">
        <f t="shared" si="16"/>
        <v>34433.3621019477</v>
      </c>
      <c r="Q83" s="114">
        <f t="shared" si="10"/>
        <v>38736.096228199371</v>
      </c>
      <c r="R83" s="114"/>
      <c r="S83" s="114"/>
      <c r="T83" s="115">
        <f t="shared" si="11"/>
        <v>1.9059945448969455</v>
      </c>
      <c r="U83" s="115">
        <f t="shared" si="12"/>
        <v>87.057005107113113</v>
      </c>
      <c r="V83" s="115">
        <f t="shared" si="13"/>
        <v>37.877948065909493</v>
      </c>
    </row>
    <row r="84" spans="1:22" x14ac:dyDescent="0.25">
      <c r="A84" s="94">
        <v>44349</v>
      </c>
      <c r="B84" s="89">
        <v>63</v>
      </c>
      <c r="C84" s="89">
        <v>25</v>
      </c>
      <c r="D84" s="89">
        <v>25.698599999999999</v>
      </c>
      <c r="E84" s="89">
        <v>46.7376</v>
      </c>
      <c r="F84" s="89">
        <v>26.711500000000001</v>
      </c>
      <c r="G84" s="89">
        <v>25.208200000000001</v>
      </c>
      <c r="H84" s="89">
        <f>(E84-D84)</f>
        <v>21.039000000000001</v>
      </c>
      <c r="I84" s="89">
        <f>(F84-D84)</f>
        <v>1.0129000000000019</v>
      </c>
      <c r="J84" s="101">
        <f>(I84/H84)*100</f>
        <v>4.8143923190265792</v>
      </c>
      <c r="K84" s="89">
        <f>I84-(G84-D84)</f>
        <v>1.5032999999999994</v>
      </c>
      <c r="L84" s="101">
        <f>(K84/I84)*100</f>
        <v>148.41544081350543</v>
      </c>
      <c r="M84" s="114">
        <f>AVERAGE(J84:J86)</f>
        <v>3.8565601303569266</v>
      </c>
      <c r="N84" s="114">
        <f>AVERAGE(L84:L86)</f>
        <v>62.26634794420702</v>
      </c>
      <c r="O84" s="89">
        <f t="shared" si="5"/>
        <v>48143.923190265785</v>
      </c>
      <c r="P84" s="89">
        <f t="shared" si="16"/>
        <v>71453.01582774843</v>
      </c>
      <c r="Q84" s="114">
        <f t="shared" si="10"/>
        <v>38565.601303569259</v>
      </c>
      <c r="R84" s="114">
        <f t="shared" si="14"/>
        <v>33205.003801914812</v>
      </c>
      <c r="S84" s="114">
        <f t="shared" si="18"/>
        <v>33.205003801914813</v>
      </c>
      <c r="T84" s="115">
        <f t="shared" si="11"/>
        <v>1.8893422262057036</v>
      </c>
      <c r="U84" s="115">
        <f t="shared" si="12"/>
        <v>87.006023120346995</v>
      </c>
      <c r="V84" s="115">
        <f t="shared" si="13"/>
        <v>37.88024877768553</v>
      </c>
    </row>
    <row r="85" spans="1:22" x14ac:dyDescent="0.25">
      <c r="A85" s="94"/>
      <c r="C85" s="89" t="s">
        <v>35</v>
      </c>
      <c r="D85" s="89">
        <v>24.635400000000001</v>
      </c>
      <c r="E85" s="89">
        <v>46.746699999999997</v>
      </c>
      <c r="F85" s="89">
        <v>25.006900000000002</v>
      </c>
      <c r="G85" s="89">
        <v>25.101900000000001</v>
      </c>
      <c r="H85" s="89">
        <f t="shared" si="0"/>
        <v>22.111299999999996</v>
      </c>
      <c r="I85" s="89">
        <f t="shared" si="1"/>
        <v>0.37150000000000105</v>
      </c>
      <c r="J85" s="101">
        <f t="shared" si="2"/>
        <v>1.6801364008448221</v>
      </c>
      <c r="K85" s="89">
        <f t="shared" si="17"/>
        <v>-9.4999999999998863E-2</v>
      </c>
      <c r="L85" s="101">
        <f t="shared" si="15"/>
        <v>-25.572005383579704</v>
      </c>
      <c r="M85" s="114"/>
      <c r="N85" s="114"/>
      <c r="O85" s="89">
        <f t="shared" ref="O85:O90" si="19">((F85-D85)/(H85))*1000000</f>
        <v>16801.364008448221</v>
      </c>
      <c r="P85" s="89">
        <f t="shared" si="16"/>
        <v>-4296.4457087552018</v>
      </c>
      <c r="Q85" s="114">
        <f t="shared" si="10"/>
        <v>36414.653885643631</v>
      </c>
      <c r="R85" s="114"/>
      <c r="S85" s="114"/>
      <c r="T85" s="115">
        <f t="shared" si="11"/>
        <v>1.7579355191976878</v>
      </c>
      <c r="U85" s="115">
        <f t="shared" si="12"/>
        <v>51.671745072472682</v>
      </c>
      <c r="V85" s="115">
        <f t="shared" si="13"/>
        <v>19.755999485192032</v>
      </c>
    </row>
    <row r="86" spans="1:22" x14ac:dyDescent="0.25">
      <c r="A86" s="94"/>
      <c r="C86" s="89">
        <v>84</v>
      </c>
      <c r="D86" s="89">
        <v>26.2683</v>
      </c>
      <c r="E86" s="89">
        <v>51.124699999999997</v>
      </c>
      <c r="F86" s="89">
        <v>27.529800000000002</v>
      </c>
      <c r="G86" s="89">
        <v>26.722999999999999</v>
      </c>
      <c r="H86" s="89">
        <f t="shared" si="0"/>
        <v>24.856399999999997</v>
      </c>
      <c r="I86" s="89">
        <f t="shared" si="1"/>
        <v>1.2615000000000016</v>
      </c>
      <c r="J86" s="101">
        <f t="shared" si="2"/>
        <v>5.0751516711993769</v>
      </c>
      <c r="K86" s="89">
        <f t="shared" si="17"/>
        <v>0.80680000000000263</v>
      </c>
      <c r="L86" s="101">
        <f t="shared" si="15"/>
        <v>63.955608402695333</v>
      </c>
      <c r="M86" s="114"/>
      <c r="N86" s="114"/>
      <c r="O86" s="89">
        <f t="shared" si="19"/>
        <v>50751.516711993769</v>
      </c>
      <c r="P86" s="89">
        <f t="shared" si="16"/>
        <v>32458.441286751211</v>
      </c>
      <c r="Q86" s="114">
        <f t="shared" si="10"/>
        <v>46490.489232931832</v>
      </c>
      <c r="R86" s="114"/>
      <c r="S86" s="114"/>
      <c r="T86" s="115">
        <f t="shared" si="11"/>
        <v>0.45541480585181837</v>
      </c>
      <c r="U86" s="115">
        <f t="shared" si="12"/>
        <v>0.32696207745291894</v>
      </c>
      <c r="V86" s="115">
        <f t="shared" si="13"/>
        <v>2.9132125784326979</v>
      </c>
    </row>
    <row r="87" spans="1:22" x14ac:dyDescent="0.25">
      <c r="A87" s="94">
        <v>44351</v>
      </c>
      <c r="B87" s="89">
        <v>65</v>
      </c>
      <c r="C87" s="89" t="s">
        <v>30</v>
      </c>
      <c r="D87" s="89">
        <v>25.688400000000001</v>
      </c>
      <c r="E87" s="89">
        <v>49.240200000000002</v>
      </c>
      <c r="F87" s="89">
        <v>26.670300000000001</v>
      </c>
      <c r="G87" s="89">
        <v>26.042899999999999</v>
      </c>
      <c r="H87" s="89">
        <f t="shared" si="0"/>
        <v>23.5518</v>
      </c>
      <c r="I87" s="89">
        <f t="shared" si="1"/>
        <v>0.98189999999999955</v>
      </c>
      <c r="J87" s="101">
        <f t="shared" si="2"/>
        <v>4.1691080936488909</v>
      </c>
      <c r="K87" s="89">
        <f t="shared" si="17"/>
        <v>0.62740000000000151</v>
      </c>
      <c r="L87" s="101">
        <f t="shared" si="15"/>
        <v>63.896527141256932</v>
      </c>
      <c r="M87" s="114">
        <f t="shared" si="8"/>
        <v>4.5375738681263353</v>
      </c>
      <c r="N87" s="114">
        <f t="shared" si="9"/>
        <v>63.151121650493373</v>
      </c>
      <c r="O87" s="89">
        <f t="shared" si="19"/>
        <v>41691.080936488914</v>
      </c>
      <c r="P87" s="89">
        <f t="shared" si="16"/>
        <v>26639.152846067031</v>
      </c>
      <c r="Q87" s="114">
        <f t="shared" si="10"/>
        <v>45375.738681263356</v>
      </c>
      <c r="R87" s="114">
        <f t="shared" si="14"/>
        <v>28640.818946280226</v>
      </c>
      <c r="S87" s="114">
        <f t="shared" si="18"/>
        <v>28.640818946280227</v>
      </c>
      <c r="T87" s="115">
        <f t="shared" si="11"/>
        <v>0.31966111301445455</v>
      </c>
      <c r="U87" s="115">
        <f t="shared" si="12"/>
        <v>0.87026972959927451</v>
      </c>
      <c r="V87" s="115">
        <f t="shared" si="13"/>
        <v>1.7405719531739337</v>
      </c>
    </row>
    <row r="88" spans="1:22" x14ac:dyDescent="0.25">
      <c r="A88" s="94"/>
      <c r="C88" s="89">
        <v>25</v>
      </c>
      <c r="D88" s="89">
        <v>25.709199999999999</v>
      </c>
      <c r="E88" s="89">
        <v>50.374899999999997</v>
      </c>
      <c r="F88" s="89">
        <v>26.869199999999999</v>
      </c>
      <c r="G88" s="89">
        <v>26.1342</v>
      </c>
      <c r="H88" s="89">
        <f t="shared" si="0"/>
        <v>24.665699999999998</v>
      </c>
      <c r="I88" s="89">
        <f t="shared" si="1"/>
        <v>1.1600000000000001</v>
      </c>
      <c r="J88" s="101">
        <f t="shared" si="2"/>
        <v>4.7028870050312799</v>
      </c>
      <c r="K88" s="89">
        <f t="shared" si="17"/>
        <v>0.73499999999999943</v>
      </c>
      <c r="L88" s="101">
        <f t="shared" si="15"/>
        <v>63.362068965517182</v>
      </c>
      <c r="M88" s="114"/>
      <c r="N88" s="114"/>
      <c r="O88" s="89">
        <f t="shared" si="19"/>
        <v>47028.870050312798</v>
      </c>
      <c r="P88" s="89">
        <f t="shared" si="16"/>
        <v>29798.465074982647</v>
      </c>
      <c r="Q88" s="114">
        <f t="shared" si="10"/>
        <v>47958.967216696103</v>
      </c>
      <c r="R88" s="114"/>
      <c r="S88" s="114"/>
      <c r="T88" s="115">
        <f t="shared" si="11"/>
        <v>0.1297147881843925</v>
      </c>
      <c r="U88" s="115">
        <f t="shared" si="12"/>
        <v>0.58437782302011421</v>
      </c>
      <c r="V88" s="115">
        <f t="shared" si="13"/>
        <v>0.835520082826821</v>
      </c>
    </row>
    <row r="89" spans="1:22" x14ac:dyDescent="0.25">
      <c r="A89" s="94"/>
      <c r="C89" s="89" t="s">
        <v>126</v>
      </c>
      <c r="D89" s="89">
        <v>24.517700000000001</v>
      </c>
      <c r="E89" s="89">
        <v>46.372999999999998</v>
      </c>
      <c r="F89" s="89">
        <v>25.553799999999999</v>
      </c>
      <c r="G89" s="89">
        <v>24.909400000000002</v>
      </c>
      <c r="H89" s="89">
        <f t="shared" si="0"/>
        <v>21.855299999999996</v>
      </c>
      <c r="I89" s="89">
        <f t="shared" si="1"/>
        <v>1.0360999999999976</v>
      </c>
      <c r="J89" s="101">
        <f t="shared" si="2"/>
        <v>4.7407265056988361</v>
      </c>
      <c r="K89" s="89">
        <f t="shared" si="17"/>
        <v>0.64439999999999742</v>
      </c>
      <c r="L89" s="101">
        <f t="shared" si="15"/>
        <v>62.194768844706005</v>
      </c>
      <c r="M89" s="114"/>
      <c r="N89" s="114"/>
      <c r="O89" s="89">
        <f t="shared" si="19"/>
        <v>47407.265056988363</v>
      </c>
      <c r="P89" s="89">
        <f t="shared" si="16"/>
        <v>29484.838917790996</v>
      </c>
      <c r="Q89" s="114">
        <f t="shared" si="10"/>
        <v>48454.910563224148</v>
      </c>
      <c r="R89" s="114"/>
      <c r="S89" s="114"/>
      <c r="T89" s="115">
        <f t="shared" si="11"/>
        <v>0.10181579113238368</v>
      </c>
      <c r="U89" s="115">
        <f t="shared" si="12"/>
        <v>0.33877584209588063</v>
      </c>
      <c r="V89" s="115">
        <f t="shared" si="13"/>
        <v>0.78956769050968978</v>
      </c>
    </row>
    <row r="90" spans="1:22" x14ac:dyDescent="0.25">
      <c r="A90" s="94">
        <v>44354</v>
      </c>
      <c r="B90" s="89">
        <v>68</v>
      </c>
      <c r="C90" s="89">
        <v>87</v>
      </c>
      <c r="D90" s="89">
        <v>22.891300000000001</v>
      </c>
      <c r="E90" s="89">
        <v>45.413200000000003</v>
      </c>
      <c r="F90" s="89">
        <v>24.004799999999999</v>
      </c>
      <c r="G90" s="89">
        <v>23.305199999999999</v>
      </c>
      <c r="H90" s="89">
        <f t="shared" si="0"/>
        <v>22.521900000000002</v>
      </c>
      <c r="I90" s="89">
        <f t="shared" si="1"/>
        <v>1.1134999999999984</v>
      </c>
      <c r="J90" s="101">
        <f t="shared" si="2"/>
        <v>4.9440766542787165</v>
      </c>
      <c r="K90" s="89">
        <f t="shared" si="17"/>
        <v>0.69960000000000022</v>
      </c>
      <c r="L90" s="101">
        <f t="shared" si="15"/>
        <v>62.828917826672772</v>
      </c>
      <c r="M90" s="114">
        <f t="shared" si="8"/>
        <v>4.8961684358456967</v>
      </c>
      <c r="N90" s="114">
        <f t="shared" si="9"/>
        <v>62.460466577443604</v>
      </c>
      <c r="O90" s="89">
        <f t="shared" si="19"/>
        <v>49440.766542787169</v>
      </c>
      <c r="P90" s="89">
        <f t="shared" si="16"/>
        <v>31063.09858404487</v>
      </c>
      <c r="Q90" s="114">
        <f t="shared" si="10"/>
        <v>48961.684358456965</v>
      </c>
      <c r="R90" s="114">
        <f t="shared" si="14"/>
        <v>30582.539413902978</v>
      </c>
      <c r="S90" s="114">
        <f t="shared" si="18"/>
        <v>30.582539413902978</v>
      </c>
      <c r="T90" s="115">
        <f t="shared" si="11"/>
        <v>4.6297592079307753E-2</v>
      </c>
      <c r="U90" s="115">
        <f t="shared" si="12"/>
        <v>0.3204001913481444</v>
      </c>
      <c r="V90" s="115">
        <f t="shared" si="13"/>
        <v>0.43146257672008109</v>
      </c>
    </row>
    <row r="91" spans="1:22" x14ac:dyDescent="0.25">
      <c r="C91" s="89" t="s">
        <v>35</v>
      </c>
      <c r="D91" s="89">
        <v>24.636600000000001</v>
      </c>
      <c r="E91" s="89">
        <v>46.328099999999999</v>
      </c>
      <c r="F91" s="89">
        <v>25.689</v>
      </c>
      <c r="G91" s="89">
        <v>25.033300000000001</v>
      </c>
      <c r="H91" s="89">
        <f t="shared" si="0"/>
        <v>21.691499999999998</v>
      </c>
      <c r="I91" s="89">
        <f t="shared" si="1"/>
        <v>1.0523999999999987</v>
      </c>
      <c r="J91" s="101">
        <f t="shared" si="2"/>
        <v>4.8516700089896903</v>
      </c>
      <c r="K91" s="89">
        <f t="shared" si="17"/>
        <v>0.65569999999999951</v>
      </c>
      <c r="L91" s="101">
        <f t="shared" si="15"/>
        <v>62.305207145572062</v>
      </c>
      <c r="M91" s="114"/>
      <c r="N91" s="114"/>
      <c r="O91" s="89">
        <f t="shared" ref="O91:O154" si="20">((F91-D91)/(H91))*1000000</f>
        <v>48516.700089896905</v>
      </c>
      <c r="P91" s="89">
        <f t="shared" si="16"/>
        <v>30228.430491206211</v>
      </c>
      <c r="Q91" s="114">
        <f t="shared" si="10"/>
        <v>46665.894566411611</v>
      </c>
      <c r="R91" s="114"/>
      <c r="S91" s="114"/>
      <c r="T91" s="115">
        <f t="shared" si="11"/>
        <v>0.35674476935205418</v>
      </c>
      <c r="U91" s="115">
        <f t="shared" si="12"/>
        <v>0.87397979679565252</v>
      </c>
      <c r="V91" s="115">
        <f t="shared" si="13"/>
        <v>1.8497528532163221</v>
      </c>
    </row>
    <row r="92" spans="1:22" x14ac:dyDescent="0.25">
      <c r="C92" s="89" t="s">
        <v>40</v>
      </c>
      <c r="D92" s="89">
        <v>23.895700000000001</v>
      </c>
      <c r="E92" s="89">
        <v>45.8322</v>
      </c>
      <c r="F92" s="89">
        <v>24.969000000000001</v>
      </c>
      <c r="G92" s="89">
        <v>24.300899999999999</v>
      </c>
      <c r="H92" s="89">
        <f t="shared" ref="H92:H136" si="21">(E92-D92)</f>
        <v>21.936499999999999</v>
      </c>
      <c r="I92" s="89">
        <f t="shared" ref="I92:I209" si="22">(F92-D92)</f>
        <v>1.0732999999999997</v>
      </c>
      <c r="J92" s="101">
        <f t="shared" ref="J92:J139" si="23">(I92/H92)*100</f>
        <v>4.8927586442686835</v>
      </c>
      <c r="K92" s="89">
        <f t="shared" si="17"/>
        <v>0.66810000000000258</v>
      </c>
      <c r="L92" s="101">
        <f t="shared" si="15"/>
        <v>62.247274760085979</v>
      </c>
      <c r="M92" s="114"/>
      <c r="N92" s="114"/>
      <c r="O92" s="89">
        <f t="shared" si="20"/>
        <v>48927.586442686836</v>
      </c>
      <c r="P92" s="89">
        <f t="shared" si="16"/>
        <v>30456.089166457848</v>
      </c>
      <c r="Q92" s="114">
        <f t="shared" si="10"/>
        <v>44703.952707994169</v>
      </c>
      <c r="R92" s="114"/>
      <c r="S92" s="114"/>
      <c r="T92" s="115">
        <f t="shared" si="11"/>
        <v>0.36579792411232326</v>
      </c>
      <c r="U92" s="115">
        <f t="shared" si="12"/>
        <v>1.7109129425936338</v>
      </c>
      <c r="V92" s="115">
        <f t="shared" si="13"/>
        <v>2.4225437253700819</v>
      </c>
    </row>
    <row r="93" spans="1:22" x14ac:dyDescent="0.25">
      <c r="A93" s="94">
        <v>44356</v>
      </c>
      <c r="B93" s="89">
        <v>70</v>
      </c>
      <c r="C93" s="89" t="s">
        <v>94</v>
      </c>
      <c r="D93" s="89">
        <v>49.326700000000002</v>
      </c>
      <c r="E93" s="89">
        <v>70.016000000000005</v>
      </c>
      <c r="F93" s="89">
        <v>50.207099999999997</v>
      </c>
      <c r="G93" s="89">
        <v>49.645499999999998</v>
      </c>
      <c r="H93" s="89">
        <f t="shared" si="21"/>
        <v>20.689300000000003</v>
      </c>
      <c r="I93" s="89">
        <f t="shared" si="22"/>
        <v>0.88039999999999452</v>
      </c>
      <c r="J93" s="101">
        <f t="shared" si="23"/>
        <v>4.2553397166651088</v>
      </c>
      <c r="K93" s="89">
        <f t="shared" si="17"/>
        <v>0.56159999999999854</v>
      </c>
      <c r="L93" s="101">
        <f t="shared" si="15"/>
        <v>63.789186733303268</v>
      </c>
      <c r="M93" s="114">
        <f t="shared" si="8"/>
        <v>4.2600423981667266</v>
      </c>
      <c r="N93" s="114">
        <f t="shared" si="9"/>
        <v>62.211547009547907</v>
      </c>
      <c r="O93" s="89">
        <f t="shared" si="20"/>
        <v>42553.397166651092</v>
      </c>
      <c r="P93" s="89">
        <f t="shared" si="16"/>
        <v>27144.465979999248</v>
      </c>
      <c r="Q93" s="114">
        <f t="shared" si="10"/>
        <v>42600.423981667263</v>
      </c>
      <c r="R93" s="114">
        <f t="shared" si="14"/>
        <v>26501.963276104583</v>
      </c>
      <c r="S93" s="114">
        <f t="shared" si="18"/>
        <v>26.501963276104583</v>
      </c>
      <c r="T93" s="115">
        <f t="shared" si="11"/>
        <v>4.1313008940281589E-3</v>
      </c>
      <c r="U93" s="115">
        <f t="shared" si="12"/>
        <v>1.7231236159066492</v>
      </c>
      <c r="V93" s="115">
        <f t="shared" si="13"/>
        <v>0.71140964999090317</v>
      </c>
    </row>
    <row r="94" spans="1:22" x14ac:dyDescent="0.25">
      <c r="C94" s="89" t="s">
        <v>127</v>
      </c>
      <c r="D94" s="89">
        <v>24.460100000000001</v>
      </c>
      <c r="E94" s="89">
        <v>45.604399999999998</v>
      </c>
      <c r="F94" s="89">
        <v>25.361499999999999</v>
      </c>
      <c r="G94" s="89">
        <v>24.817299999999999</v>
      </c>
      <c r="H94" s="89">
        <f t="shared" si="21"/>
        <v>21.144299999999998</v>
      </c>
      <c r="I94" s="89">
        <f t="shared" si="22"/>
        <v>0.90139999999999887</v>
      </c>
      <c r="J94" s="101">
        <f t="shared" si="23"/>
        <v>4.2630874514644566</v>
      </c>
      <c r="K94" s="89">
        <f t="shared" si="17"/>
        <v>0.54420000000000002</v>
      </c>
      <c r="L94" s="101">
        <f t="shared" si="15"/>
        <v>60.372753494564094</v>
      </c>
      <c r="M94" s="114"/>
      <c r="N94" s="114"/>
      <c r="O94" s="89">
        <f t="shared" si="20"/>
        <v>42630.874514644565</v>
      </c>
      <c r="P94" s="89">
        <f t="shared" si="16"/>
        <v>25737.432783303306</v>
      </c>
      <c r="Q94" s="114">
        <f t="shared" si="10"/>
        <v>42345.206027901244</v>
      </c>
      <c r="R94" s="114"/>
      <c r="S94" s="114"/>
      <c r="T94" s="115">
        <f t="shared" si="11"/>
        <v>4.8282671734580528E-2</v>
      </c>
      <c r="U94" s="115">
        <f t="shared" si="12"/>
        <v>2.5339997013225162</v>
      </c>
      <c r="V94" s="115">
        <f t="shared" si="13"/>
        <v>1.3359038349045704</v>
      </c>
    </row>
    <row r="95" spans="1:22" x14ac:dyDescent="0.25">
      <c r="C95" s="89">
        <v>6</v>
      </c>
      <c r="D95" s="89">
        <v>21.156500000000001</v>
      </c>
      <c r="E95" s="89">
        <v>40.496200000000002</v>
      </c>
      <c r="F95" s="89">
        <v>21.980699999999999</v>
      </c>
      <c r="G95" s="89">
        <v>21.465800000000002</v>
      </c>
      <c r="H95" s="89">
        <f t="shared" si="21"/>
        <v>19.339700000000001</v>
      </c>
      <c r="I95" s="89">
        <f t="shared" si="22"/>
        <v>0.8241999999999976</v>
      </c>
      <c r="J95" s="101">
        <f t="shared" si="23"/>
        <v>4.2617000263706135</v>
      </c>
      <c r="K95" s="89">
        <f t="shared" si="17"/>
        <v>0.51489999999999725</v>
      </c>
      <c r="L95" s="101">
        <f t="shared" si="15"/>
        <v>62.472700800776359</v>
      </c>
      <c r="M95" s="114"/>
      <c r="N95" s="114"/>
      <c r="O95" s="89">
        <f t="shared" si="20"/>
        <v>42617.000263706133</v>
      </c>
      <c r="P95" s="89">
        <f t="shared" si="16"/>
        <v>26623.991065011207</v>
      </c>
      <c r="Q95" s="114">
        <f t="shared" si="10"/>
        <v>42485.288378350255</v>
      </c>
      <c r="R95" s="114"/>
      <c r="S95" s="114"/>
      <c r="T95" s="115">
        <f t="shared" si="11"/>
        <v>6.4190511208553167E-2</v>
      </c>
      <c r="U95" s="115">
        <f t="shared" si="12"/>
        <v>5.6354370093274522</v>
      </c>
      <c r="V95" s="115">
        <f t="shared" si="13"/>
        <v>2.7860896695757051</v>
      </c>
    </row>
    <row r="96" spans="1:22" x14ac:dyDescent="0.25">
      <c r="A96" s="94">
        <v>44358</v>
      </c>
      <c r="B96" s="89">
        <v>72</v>
      </c>
      <c r="C96" s="89" t="s">
        <v>128</v>
      </c>
      <c r="D96" s="89">
        <v>18.8657</v>
      </c>
      <c r="E96" s="89">
        <v>38.033999999999999</v>
      </c>
      <c r="F96" s="89">
        <v>19.666699999999999</v>
      </c>
      <c r="G96" s="89">
        <v>19.206700000000001</v>
      </c>
      <c r="H96" s="89">
        <f t="shared" si="21"/>
        <v>19.168299999999999</v>
      </c>
      <c r="I96" s="89">
        <f t="shared" si="22"/>
        <v>0.80099999999999838</v>
      </c>
      <c r="J96" s="101">
        <f t="shared" si="23"/>
        <v>4.1787743305353029</v>
      </c>
      <c r="K96" s="89">
        <f t="shared" si="17"/>
        <v>0.4599999999999973</v>
      </c>
      <c r="L96" s="101">
        <f t="shared" si="15"/>
        <v>57.428214731585292</v>
      </c>
      <c r="M96" s="114">
        <f t="shared" si="8"/>
        <v>4.3071088523364747</v>
      </c>
      <c r="N96" s="114">
        <f t="shared" si="9"/>
        <v>61.704865407683592</v>
      </c>
      <c r="O96" s="89">
        <f t="shared" si="20"/>
        <v>41787.743305353033</v>
      </c>
      <c r="P96" s="89">
        <f t="shared" si="16"/>
        <v>23997.954956881797</v>
      </c>
      <c r="Q96" s="114">
        <f t="shared" si="10"/>
        <v>43071.08852336475</v>
      </c>
      <c r="R96" s="114">
        <f t="shared" si="14"/>
        <v>26583.068407796061</v>
      </c>
      <c r="S96" s="114">
        <f>((R96*1)/1000)</f>
        <v>26.583068407796063</v>
      </c>
      <c r="T96" s="115">
        <f t="shared" si="11"/>
        <v>0.12934442884188557</v>
      </c>
      <c r="U96" s="115">
        <f t="shared" si="12"/>
        <v>6.0912555180319163</v>
      </c>
      <c r="V96" s="115">
        <f t="shared" si="13"/>
        <v>2.8059372100351201</v>
      </c>
    </row>
    <row r="97" spans="1:22" x14ac:dyDescent="0.25">
      <c r="C97" s="89">
        <v>2</v>
      </c>
      <c r="D97" s="89">
        <v>36.3581</v>
      </c>
      <c r="E97" s="89">
        <v>55.402900000000002</v>
      </c>
      <c r="F97" s="89">
        <v>37.177999999999997</v>
      </c>
      <c r="G97" s="89">
        <v>36.614899999999999</v>
      </c>
      <c r="H97" s="89">
        <f t="shared" si="21"/>
        <v>19.044800000000002</v>
      </c>
      <c r="I97" s="89">
        <f t="shared" si="22"/>
        <v>0.81989999999999696</v>
      </c>
      <c r="J97" s="101">
        <f t="shared" si="23"/>
        <v>4.3051121565991606</v>
      </c>
      <c r="K97" s="89">
        <f t="shared" si="17"/>
        <v>0.5630999999999986</v>
      </c>
      <c r="L97" s="101">
        <f t="shared" si="15"/>
        <v>68.679107208196214</v>
      </c>
      <c r="M97" s="114"/>
      <c r="N97" s="114"/>
      <c r="O97" s="89">
        <f t="shared" si="20"/>
        <v>43051.121565991605</v>
      </c>
      <c r="P97" s="89">
        <f t="shared" si="16"/>
        <v>29567.125934638247</v>
      </c>
      <c r="Q97" s="114">
        <f t="shared" si="10"/>
        <v>44714.64996996431</v>
      </c>
      <c r="R97" s="114"/>
      <c r="S97" s="114"/>
      <c r="T97" s="115">
        <f t="shared" si="11"/>
        <v>0.18571781402123883</v>
      </c>
      <c r="U97" s="115">
        <f t="shared" si="12"/>
        <v>5.3451717657012763</v>
      </c>
      <c r="V97" s="115">
        <f t="shared" si="13"/>
        <v>2.7672900615818712</v>
      </c>
    </row>
    <row r="98" spans="1:22" x14ac:dyDescent="0.25">
      <c r="C98" s="89" t="s">
        <v>129</v>
      </c>
      <c r="D98" s="89">
        <v>19.9923</v>
      </c>
      <c r="E98" s="89">
        <v>41.058500000000002</v>
      </c>
      <c r="F98" s="89">
        <v>20.927099999999999</v>
      </c>
      <c r="G98" s="89">
        <v>20.375499999999999</v>
      </c>
      <c r="H98" s="89">
        <f t="shared" si="21"/>
        <v>21.066200000000002</v>
      </c>
      <c r="I98" s="89">
        <f t="shared" si="22"/>
        <v>0.93479999999999919</v>
      </c>
      <c r="J98" s="101">
        <f t="shared" si="23"/>
        <v>4.4374400698749614</v>
      </c>
      <c r="K98" s="89">
        <f t="shared" si="17"/>
        <v>0.55160000000000053</v>
      </c>
      <c r="L98" s="101">
        <f t="shared" si="15"/>
        <v>59.007274283269261</v>
      </c>
      <c r="M98" s="114"/>
      <c r="N98" s="114"/>
      <c r="O98" s="89">
        <f t="shared" si="20"/>
        <v>44374.400698749618</v>
      </c>
      <c r="P98" s="89">
        <f t="shared" si="16"/>
        <v>26184.124331868134</v>
      </c>
      <c r="Q98" s="114">
        <f t="shared" si="10"/>
        <v>46246.079798352839</v>
      </c>
      <c r="R98" s="114"/>
      <c r="S98" s="114"/>
      <c r="T98" s="115">
        <f t="shared" si="11"/>
        <v>0.16858859829985623</v>
      </c>
      <c r="U98" s="115">
        <f t="shared" si="12"/>
        <v>4.5129299226110957</v>
      </c>
      <c r="V98" s="115">
        <f t="shared" si="13"/>
        <v>3.0086241446331905</v>
      </c>
    </row>
    <row r="99" spans="1:22" x14ac:dyDescent="0.25">
      <c r="A99" s="94">
        <v>44361</v>
      </c>
      <c r="B99" s="89">
        <v>75</v>
      </c>
      <c r="C99" s="89" t="s">
        <v>33</v>
      </c>
      <c r="D99" s="89">
        <v>24.452000000000002</v>
      </c>
      <c r="E99" s="89">
        <v>46.167200000000001</v>
      </c>
      <c r="F99" s="89">
        <v>25.4665</v>
      </c>
      <c r="G99" s="89">
        <v>24.7788</v>
      </c>
      <c r="H99" s="89">
        <f t="shared" si="21"/>
        <v>21.715199999999999</v>
      </c>
      <c r="I99" s="89">
        <f t="shared" si="22"/>
        <v>1.0144999999999982</v>
      </c>
      <c r="J99" s="101">
        <f t="shared" si="23"/>
        <v>4.6718427645151701</v>
      </c>
      <c r="K99" s="89">
        <f t="shared" si="17"/>
        <v>0.68769999999999953</v>
      </c>
      <c r="L99" s="101">
        <f t="shared" si="15"/>
        <v>67.787087235091263</v>
      </c>
      <c r="M99" s="114">
        <f t="shared" si="8"/>
        <v>4.6998831648537145</v>
      </c>
      <c r="N99" s="114">
        <f t="shared" si="9"/>
        <v>66.425855318754373</v>
      </c>
      <c r="O99" s="89">
        <f t="shared" si="20"/>
        <v>46718.4276451517</v>
      </c>
      <c r="P99" s="89">
        <f t="shared" si="16"/>
        <v>31669.061302681974</v>
      </c>
      <c r="Q99" s="114">
        <f t="shared" si="10"/>
        <v>46998.831648537154</v>
      </c>
      <c r="R99" s="114">
        <f t="shared" si="14"/>
        <v>31215.660047017347</v>
      </c>
      <c r="S99" s="114">
        <f t="shared" si="18"/>
        <v>31.215660047017348</v>
      </c>
      <c r="T99" s="115">
        <f t="shared" si="11"/>
        <v>5.6159404911897935E-2</v>
      </c>
      <c r="U99" s="115">
        <f t="shared" si="12"/>
        <v>1.2947413274521917</v>
      </c>
      <c r="V99" s="115">
        <f t="shared" si="13"/>
        <v>0.40083231913183248</v>
      </c>
    </row>
    <row r="100" spans="1:22" x14ac:dyDescent="0.25">
      <c r="C100" s="89">
        <v>3</v>
      </c>
      <c r="D100" s="89">
        <v>44.5169</v>
      </c>
      <c r="E100" s="89">
        <v>68.720699999999994</v>
      </c>
      <c r="F100" s="89">
        <v>45.670099999999998</v>
      </c>
      <c r="G100" s="89">
        <v>44.918100000000003</v>
      </c>
      <c r="H100" s="89">
        <f t="shared" si="21"/>
        <v>24.203799999999994</v>
      </c>
      <c r="I100" s="89">
        <f t="shared" si="22"/>
        <v>1.1531999999999982</v>
      </c>
      <c r="J100" s="101">
        <f t="shared" si="23"/>
        <v>4.7645411051157192</v>
      </c>
      <c r="K100" s="89">
        <f t="shared" si="17"/>
        <v>0.75199999999999534</v>
      </c>
      <c r="L100" s="101">
        <f t="shared" si="15"/>
        <v>65.20985084980893</v>
      </c>
      <c r="M100" s="114"/>
      <c r="N100" s="114"/>
      <c r="O100" s="89">
        <f t="shared" si="20"/>
        <v>47645.411051157193</v>
      </c>
      <c r="P100" s="89">
        <f t="shared" si="16"/>
        <v>31069.501483237982</v>
      </c>
      <c r="Q100" s="114">
        <f t="shared" si="10"/>
        <v>45173.000077350727</v>
      </c>
      <c r="R100" s="114"/>
      <c r="S100" s="114"/>
      <c r="T100" s="115">
        <f t="shared" si="11"/>
        <v>0.34427143508042696</v>
      </c>
      <c r="U100" s="115">
        <f t="shared" si="12"/>
        <v>1.515022403343582</v>
      </c>
      <c r="V100" s="115">
        <f t="shared" si="13"/>
        <v>1.6547039835948971</v>
      </c>
    </row>
    <row r="101" spans="1:22" x14ac:dyDescent="0.25">
      <c r="C101" s="89">
        <v>25</v>
      </c>
      <c r="D101" s="89">
        <v>25.700700000000001</v>
      </c>
      <c r="E101" s="89">
        <v>48.105600000000003</v>
      </c>
      <c r="F101" s="89">
        <v>26.7455</v>
      </c>
      <c r="G101" s="89">
        <v>26.053000000000001</v>
      </c>
      <c r="H101" s="89">
        <f t="shared" si="21"/>
        <v>22.404900000000001</v>
      </c>
      <c r="I101" s="89">
        <f t="shared" si="22"/>
        <v>1.0447999999999986</v>
      </c>
      <c r="J101" s="101">
        <f t="shared" si="23"/>
        <v>4.6632656249302542</v>
      </c>
      <c r="K101" s="89">
        <f t="shared" si="17"/>
        <v>0.69249999999999901</v>
      </c>
      <c r="L101" s="101">
        <f t="shared" si="15"/>
        <v>66.280627871362924</v>
      </c>
      <c r="M101" s="114"/>
      <c r="N101" s="114"/>
      <c r="O101" s="89">
        <f t="shared" si="20"/>
        <v>46632.656249302549</v>
      </c>
      <c r="P101" s="89">
        <f t="shared" si="16"/>
        <v>30908.417355132089</v>
      </c>
      <c r="Q101" s="114">
        <f t="shared" si="10"/>
        <v>42882.486872793968</v>
      </c>
      <c r="R101" s="114"/>
      <c r="S101" s="114"/>
      <c r="T101" s="115">
        <f t="shared" si="11"/>
        <v>0.32561272048548756</v>
      </c>
      <c r="U101" s="115">
        <f t="shared" si="12"/>
        <v>1.1116561487963552</v>
      </c>
      <c r="V101" s="115">
        <f t="shared" si="13"/>
        <v>1.704007965999756</v>
      </c>
    </row>
    <row r="102" spans="1:22" x14ac:dyDescent="0.25">
      <c r="A102" s="94">
        <v>44363</v>
      </c>
      <c r="B102" s="89">
        <v>77</v>
      </c>
      <c r="C102" s="89" t="s">
        <v>30</v>
      </c>
      <c r="D102" s="89">
        <v>25.655100000000001</v>
      </c>
      <c r="E102" s="89">
        <v>48.057600000000001</v>
      </c>
      <c r="F102" s="89">
        <v>26.579000000000001</v>
      </c>
      <c r="G102" s="89">
        <v>25.948899999999998</v>
      </c>
      <c r="H102" s="89">
        <f t="shared" si="21"/>
        <v>22.4025</v>
      </c>
      <c r="I102" s="89">
        <f t="shared" si="22"/>
        <v>0.92389999999999972</v>
      </c>
      <c r="J102" s="101">
        <f t="shared" si="23"/>
        <v>4.1240932931592447</v>
      </c>
      <c r="K102" s="89">
        <f t="shared" si="17"/>
        <v>0.63010000000000232</v>
      </c>
      <c r="L102" s="101">
        <f t="shared" si="15"/>
        <v>68.200021647364707</v>
      </c>
      <c r="M102" s="114">
        <f t="shared" si="8"/>
        <v>4.0862346723231289</v>
      </c>
      <c r="N102" s="114">
        <f t="shared" si="9"/>
        <v>68.13751040618304</v>
      </c>
      <c r="O102" s="89">
        <f t="shared" si="20"/>
        <v>41240.932931592441</v>
      </c>
      <c r="P102" s="89">
        <f t="shared" si="16"/>
        <v>28126.325186921204</v>
      </c>
      <c r="Q102" s="114">
        <f t="shared" si="10"/>
        <v>40862.346723231276</v>
      </c>
      <c r="R102" s="114">
        <f t="shared" si="14"/>
        <v>27842.775198891497</v>
      </c>
      <c r="S102" s="114">
        <f t="shared" si="18"/>
        <v>27.842775198891498</v>
      </c>
      <c r="T102" s="115">
        <f t="shared" si="11"/>
        <v>3.4301584567655481E-2</v>
      </c>
      <c r="U102" s="115">
        <f t="shared" si="12"/>
        <v>0.11885730256071647</v>
      </c>
      <c r="V102" s="115">
        <f t="shared" si="13"/>
        <v>0.26977294743169883</v>
      </c>
    </row>
    <row r="103" spans="1:22" x14ac:dyDescent="0.25">
      <c r="C103" s="89" t="s">
        <v>35</v>
      </c>
      <c r="D103" s="89">
        <v>24.6248</v>
      </c>
      <c r="E103" s="89">
        <v>46.737000000000002</v>
      </c>
      <c r="F103" s="89">
        <v>25.526399999999999</v>
      </c>
      <c r="G103" s="89">
        <v>24.9114</v>
      </c>
      <c r="H103" s="89">
        <f t="shared" si="21"/>
        <v>22.112200000000001</v>
      </c>
      <c r="I103" s="89">
        <f t="shared" si="22"/>
        <v>0.9015999999999984</v>
      </c>
      <c r="J103" s="101">
        <f t="shared" si="23"/>
        <v>4.0773871437486928</v>
      </c>
      <c r="K103" s="89">
        <f t="shared" si="17"/>
        <v>0.61499999999999844</v>
      </c>
      <c r="L103" s="101">
        <f t="shared" si="15"/>
        <v>68.212067435669866</v>
      </c>
      <c r="M103" s="114"/>
      <c r="N103" s="114"/>
      <c r="O103" s="89">
        <f t="shared" si="20"/>
        <v>40773.871437486923</v>
      </c>
      <c r="P103" s="89">
        <f t="shared" si="16"/>
        <v>27812.700681071914</v>
      </c>
      <c r="Q103" s="114">
        <f t="shared" si="10"/>
        <v>40154.971778972387</v>
      </c>
      <c r="R103" s="114"/>
      <c r="S103" s="114"/>
      <c r="T103" s="115">
        <f t="shared" si="11"/>
        <v>9.0298981808823273E-2</v>
      </c>
      <c r="U103" s="115">
        <f t="shared" si="12"/>
        <v>0.97223822085494727</v>
      </c>
      <c r="V103" s="115">
        <f t="shared" si="13"/>
        <v>0.99556399889665159</v>
      </c>
    </row>
    <row r="104" spans="1:22" x14ac:dyDescent="0.25">
      <c r="C104" s="89">
        <v>84</v>
      </c>
      <c r="D104" s="89">
        <v>26.267399999999999</v>
      </c>
      <c r="E104" s="89">
        <v>48.565899999999999</v>
      </c>
      <c r="F104" s="89">
        <v>27.1721</v>
      </c>
      <c r="G104" s="89">
        <v>26.556899999999999</v>
      </c>
      <c r="H104" s="89">
        <f t="shared" si="21"/>
        <v>22.298500000000001</v>
      </c>
      <c r="I104" s="89">
        <f t="shared" si="22"/>
        <v>0.90470000000000184</v>
      </c>
      <c r="J104" s="101">
        <f t="shared" si="23"/>
        <v>4.0572235800614473</v>
      </c>
      <c r="K104" s="89">
        <f t="shared" si="17"/>
        <v>0.61520000000000152</v>
      </c>
      <c r="L104" s="101">
        <f t="shared" si="15"/>
        <v>68.000442135514561</v>
      </c>
      <c r="M104" s="114"/>
      <c r="N104" s="114"/>
      <c r="O104" s="89">
        <f t="shared" si="20"/>
        <v>40572.235800614479</v>
      </c>
      <c r="P104" s="89">
        <f t="shared" si="16"/>
        <v>27589.29972868137</v>
      </c>
      <c r="Q104" s="114">
        <f t="shared" si="10"/>
        <v>39406.649658664617</v>
      </c>
      <c r="R104" s="114"/>
      <c r="S104" s="114"/>
      <c r="T104" s="115">
        <f t="shared" si="11"/>
        <v>0.10516366695036493</v>
      </c>
      <c r="U104" s="115">
        <f t="shared" si="12"/>
        <v>1.4269681167707211</v>
      </c>
      <c r="V104" s="115">
        <f t="shared" si="13"/>
        <v>1.2606795438291571</v>
      </c>
    </row>
    <row r="105" spans="1:22" x14ac:dyDescent="0.25">
      <c r="A105" s="94">
        <v>44365</v>
      </c>
      <c r="B105" s="89">
        <v>79</v>
      </c>
      <c r="C105" s="89" t="s">
        <v>97</v>
      </c>
      <c r="D105" s="89">
        <v>43.690899999999999</v>
      </c>
      <c r="E105" s="89">
        <v>63.323399999999999</v>
      </c>
      <c r="F105" s="89">
        <v>44.4589</v>
      </c>
      <c r="G105" s="89">
        <v>43.948700000000002</v>
      </c>
      <c r="H105" s="89">
        <f t="shared" si="21"/>
        <v>19.6325</v>
      </c>
      <c r="I105" s="89">
        <f t="shared" si="22"/>
        <v>0.76800000000000068</v>
      </c>
      <c r="J105" s="101">
        <f t="shared" si="23"/>
        <v>3.9118808098815774</v>
      </c>
      <c r="K105" s="89">
        <f t="shared" si="17"/>
        <v>0.51019999999999754</v>
      </c>
      <c r="L105" s="101">
        <f t="shared" si="15"/>
        <v>66.432291666666288</v>
      </c>
      <c r="M105" s="114">
        <f t="shared" si="8"/>
        <v>3.8235188964135234</v>
      </c>
      <c r="N105" s="114">
        <f t="shared" si="9"/>
        <v>64.796253462558056</v>
      </c>
      <c r="O105" s="89">
        <f t="shared" si="20"/>
        <v>39118.808098815774</v>
      </c>
      <c r="P105" s="89">
        <f t="shared" si="16"/>
        <v>25987.520692728765</v>
      </c>
      <c r="Q105" s="114">
        <f t="shared" si="10"/>
        <v>38235.188964135239</v>
      </c>
      <c r="R105" s="114">
        <f t="shared" si="14"/>
        <v>24787.950388736292</v>
      </c>
      <c r="S105" s="114">
        <f t="shared" si="18"/>
        <v>24.787950388736292</v>
      </c>
      <c r="T105" s="115">
        <f t="shared" si="11"/>
        <v>0.10614071353534835</v>
      </c>
      <c r="U105" s="115">
        <f t="shared" si="12"/>
        <v>1.8394593729740818</v>
      </c>
      <c r="V105" s="115">
        <f t="shared" si="13"/>
        <v>1.3836510151882728</v>
      </c>
    </row>
    <row r="106" spans="1:22" x14ac:dyDescent="0.25">
      <c r="C106" s="89" t="s">
        <v>129</v>
      </c>
      <c r="D106" s="89">
        <v>19.996700000000001</v>
      </c>
      <c r="E106" s="89">
        <v>40.835599999999999</v>
      </c>
      <c r="F106" s="89">
        <v>20.799600000000002</v>
      </c>
      <c r="G106" s="89">
        <v>20.276499999999999</v>
      </c>
      <c r="H106" s="89">
        <f t="shared" si="21"/>
        <v>20.838899999999999</v>
      </c>
      <c r="I106" s="89">
        <f t="shared" si="22"/>
        <v>0.80290000000000106</v>
      </c>
      <c r="J106" s="101">
        <f t="shared" si="23"/>
        <v>3.85289050765636</v>
      </c>
      <c r="K106" s="89">
        <f t="shared" si="17"/>
        <v>0.52310000000000301</v>
      </c>
      <c r="L106" s="101">
        <f t="shared" si="15"/>
        <v>65.151326441649317</v>
      </c>
      <c r="M106" s="114"/>
      <c r="N106" s="114"/>
      <c r="O106" s="89">
        <f t="shared" si="20"/>
        <v>38528.905076563598</v>
      </c>
      <c r="P106" s="89">
        <f t="shared" si="16"/>
        <v>25102.092720825141</v>
      </c>
      <c r="Q106" s="114">
        <f t="shared" ref="Q106:R169" si="24">AVERAGE(O106:O108)</f>
        <v>38535.318731519015</v>
      </c>
      <c r="R106" s="114"/>
      <c r="S106" s="114"/>
      <c r="T106" s="115">
        <f t="shared" ref="T106:T169" si="25">_xlfn.STDEV.S(J106:J108)</f>
        <v>0.14806822599164843</v>
      </c>
      <c r="U106" s="115">
        <f t="shared" ref="U106:U169" si="26">_xlfn.STDEV.S(L106:L108)</f>
        <v>1.7193672965009434</v>
      </c>
      <c r="V106" s="115">
        <f t="shared" ref="V106:V169" si="27">_xlfn.STDEV.S(P106:P108)/1000</f>
        <v>1.6057025625500128</v>
      </c>
    </row>
    <row r="107" spans="1:22" x14ac:dyDescent="0.25">
      <c r="C107" s="89" t="s">
        <v>83</v>
      </c>
      <c r="D107" s="89">
        <v>25.520299999999999</v>
      </c>
      <c r="E107" s="89">
        <v>44.201900000000002</v>
      </c>
      <c r="F107" s="89">
        <v>26.212599999999998</v>
      </c>
      <c r="G107" s="89">
        <v>25.777799999999999</v>
      </c>
      <c r="H107" s="89">
        <f t="shared" si="21"/>
        <v>18.681600000000003</v>
      </c>
      <c r="I107" s="89">
        <f t="shared" si="22"/>
        <v>0.69229999999999947</v>
      </c>
      <c r="J107" s="101">
        <f t="shared" si="23"/>
        <v>3.7057853717026341</v>
      </c>
      <c r="K107" s="89">
        <f t="shared" si="17"/>
        <v>0.43479999999999919</v>
      </c>
      <c r="L107" s="101">
        <f t="shared" si="15"/>
        <v>62.805142279358591</v>
      </c>
      <c r="M107" s="114"/>
      <c r="N107" s="114"/>
      <c r="O107" s="89">
        <f t="shared" si="20"/>
        <v>37057.853717026344</v>
      </c>
      <c r="P107" s="89">
        <f t="shared" si="16"/>
        <v>23274.237752654972</v>
      </c>
      <c r="Q107" s="114">
        <f t="shared" si="24"/>
        <v>39481.20162363015</v>
      </c>
      <c r="R107" s="114"/>
      <c r="S107" s="114"/>
      <c r="T107" s="115">
        <f t="shared" si="25"/>
        <v>0.22041559817994363</v>
      </c>
      <c r="U107" s="115">
        <f t="shared" si="26"/>
        <v>2.0344398016168057</v>
      </c>
      <c r="V107" s="115">
        <f t="shared" si="27"/>
        <v>2.204416686604699</v>
      </c>
    </row>
    <row r="108" spans="1:22" x14ac:dyDescent="0.25">
      <c r="A108" s="94">
        <v>44368</v>
      </c>
      <c r="B108" s="89">
        <v>82</v>
      </c>
      <c r="C108" s="89">
        <v>3</v>
      </c>
      <c r="D108" s="89">
        <v>44.5351</v>
      </c>
      <c r="E108" s="89">
        <v>66.204700000000003</v>
      </c>
      <c r="F108" s="89">
        <v>45.402299999999997</v>
      </c>
      <c r="G108" s="89">
        <v>44.828600000000002</v>
      </c>
      <c r="H108" s="89">
        <f t="shared" si="21"/>
        <v>21.669600000000003</v>
      </c>
      <c r="I108" s="89">
        <f t="shared" si="22"/>
        <v>0.86719999999999686</v>
      </c>
      <c r="J108" s="101">
        <f t="shared" si="23"/>
        <v>4.001919740096711</v>
      </c>
      <c r="K108" s="89">
        <f t="shared" si="17"/>
        <v>0.57369999999999521</v>
      </c>
      <c r="L108" s="101">
        <f t="shared" si="15"/>
        <v>66.155442804427736</v>
      </c>
      <c r="M108" s="114">
        <f t="shared" ref="M108:M129" si="28">AVERAGE(J108:J110)</f>
        <v>4.0930819452007503</v>
      </c>
      <c r="N108" s="114">
        <f t="shared" ref="N108:N138" si="29">AVERAGE(L108:L110)</f>
        <v>65.867070720803056</v>
      </c>
      <c r="O108" s="89">
        <f t="shared" si="20"/>
        <v>40019.197400967103</v>
      </c>
      <c r="P108" s="89">
        <f t="shared" si="16"/>
        <v>26474.877247387823</v>
      </c>
      <c r="Q108" s="114">
        <f t="shared" si="24"/>
        <v>40930.819452007505</v>
      </c>
      <c r="R108" s="114">
        <f t="shared" si="14"/>
        <v>26958.516040025035</v>
      </c>
      <c r="S108" s="114">
        <f t="shared" si="18"/>
        <v>26.958516040025035</v>
      </c>
      <c r="T108" s="115">
        <f t="shared" si="25"/>
        <v>7.8974308976351354E-2</v>
      </c>
      <c r="U108" s="115">
        <f t="shared" si="26"/>
        <v>0.79715047945319362</v>
      </c>
      <c r="V108" s="115">
        <f t="shared" si="27"/>
        <v>0.51526307747703615</v>
      </c>
    </row>
    <row r="109" spans="1:22" x14ac:dyDescent="0.25">
      <c r="C109" s="89">
        <v>25</v>
      </c>
      <c r="D109" s="89">
        <v>25.700600000000001</v>
      </c>
      <c r="E109" s="89">
        <v>48.136600000000001</v>
      </c>
      <c r="F109" s="89">
        <v>26.628699999999998</v>
      </c>
      <c r="G109" s="89">
        <v>26.011700000000001</v>
      </c>
      <c r="H109" s="89">
        <f t="shared" si="21"/>
        <v>22.436</v>
      </c>
      <c r="I109" s="89">
        <f t="shared" si="22"/>
        <v>0.92809999999999704</v>
      </c>
      <c r="J109" s="101">
        <f t="shared" si="23"/>
        <v>4.1366553752896991</v>
      </c>
      <c r="K109" s="89">
        <f t="shared" si="17"/>
        <v>0.61699999999999733</v>
      </c>
      <c r="L109" s="101">
        <f t="shared" si="15"/>
        <v>66.4799051826311</v>
      </c>
      <c r="M109" s="114"/>
      <c r="N109" s="114"/>
      <c r="O109" s="89">
        <f t="shared" si="20"/>
        <v>41366.553752896994</v>
      </c>
      <c r="P109" s="89">
        <f t="shared" si="16"/>
        <v>27500.445712248053</v>
      </c>
      <c r="Q109" s="114">
        <f t="shared" si="24"/>
        <v>39997.293764321228</v>
      </c>
      <c r="R109" s="114"/>
      <c r="S109" s="114"/>
      <c r="T109" s="115">
        <f t="shared" si="25"/>
        <v>0.24064855251719394</v>
      </c>
      <c r="U109" s="115">
        <f t="shared" si="26"/>
        <v>2.0319624155384957</v>
      </c>
      <c r="V109" s="115">
        <f t="shared" si="27"/>
        <v>2.3029316212112589</v>
      </c>
    </row>
    <row r="110" spans="1:22" x14ac:dyDescent="0.25">
      <c r="C110" s="89" t="s">
        <v>33</v>
      </c>
      <c r="D110" s="89">
        <v>24.450299999999999</v>
      </c>
      <c r="E110" s="89">
        <v>44.613700000000001</v>
      </c>
      <c r="F110" s="89">
        <v>25.2852</v>
      </c>
      <c r="G110" s="89">
        <v>24.742799999999999</v>
      </c>
      <c r="H110" s="89">
        <f t="shared" si="21"/>
        <v>20.163400000000003</v>
      </c>
      <c r="I110" s="89">
        <f t="shared" si="22"/>
        <v>0.83490000000000109</v>
      </c>
      <c r="J110" s="101">
        <f t="shared" si="23"/>
        <v>4.1406707202158417</v>
      </c>
      <c r="K110" s="89">
        <f t="shared" si="17"/>
        <v>0.54240000000000066</v>
      </c>
      <c r="L110" s="101">
        <f t="shared" si="15"/>
        <v>64.965864175350347</v>
      </c>
      <c r="M110" s="114"/>
      <c r="N110" s="114"/>
      <c r="O110" s="89">
        <f t="shared" si="20"/>
        <v>41406.707202158417</v>
      </c>
      <c r="P110" s="89">
        <f t="shared" si="16"/>
        <v>26900.22516043924</v>
      </c>
      <c r="Q110" s="114">
        <f t="shared" si="24"/>
        <v>38415.533962467314</v>
      </c>
      <c r="R110" s="114"/>
      <c r="S110" s="114"/>
      <c r="T110" s="115">
        <f t="shared" si="25"/>
        <v>0.2607593444250178</v>
      </c>
      <c r="U110" s="115">
        <f t="shared" si="26"/>
        <v>1.3689638434321572</v>
      </c>
      <c r="V110" s="115">
        <f t="shared" si="27"/>
        <v>2.1893222728074542</v>
      </c>
    </row>
    <row r="111" spans="1:22" x14ac:dyDescent="0.25">
      <c r="A111" s="94">
        <v>44370</v>
      </c>
      <c r="B111" s="89">
        <v>84</v>
      </c>
      <c r="C111" s="89" t="s">
        <v>40</v>
      </c>
      <c r="D111" s="89">
        <v>23.8931</v>
      </c>
      <c r="E111" s="89">
        <v>45.656399999999998</v>
      </c>
      <c r="F111" s="89">
        <v>24.703099999999999</v>
      </c>
      <c r="G111" s="89">
        <v>24.197199999999999</v>
      </c>
      <c r="H111" s="89">
        <f t="shared" si="21"/>
        <v>21.763299999999997</v>
      </c>
      <c r="I111" s="89">
        <f t="shared" si="22"/>
        <v>0.80999999999999872</v>
      </c>
      <c r="J111" s="101">
        <f t="shared" si="23"/>
        <v>3.7218620337908259</v>
      </c>
      <c r="K111" s="89">
        <f t="shared" si="17"/>
        <v>0.50590000000000046</v>
      </c>
      <c r="L111" s="101">
        <f t="shared" si="15"/>
        <v>62.456790123456955</v>
      </c>
      <c r="M111" s="114">
        <f t="shared" si="28"/>
        <v>3.6923285806372461</v>
      </c>
      <c r="N111" s="114">
        <f t="shared" si="29"/>
        <v>63.022758118571659</v>
      </c>
      <c r="O111" s="89">
        <f t="shared" si="20"/>
        <v>37218.620337908258</v>
      </c>
      <c r="P111" s="89">
        <f t="shared" si="16"/>
        <v>23245.555591293622</v>
      </c>
      <c r="Q111" s="114">
        <f t="shared" si="24"/>
        <v>36923.285806372463</v>
      </c>
      <c r="R111" s="114">
        <f t="shared" si="14"/>
        <v>23269.796504275742</v>
      </c>
      <c r="S111" s="114">
        <f t="shared" si="18"/>
        <v>23.269796504275742</v>
      </c>
      <c r="T111" s="115">
        <f t="shared" si="25"/>
        <v>2.9872896433731849E-2</v>
      </c>
      <c r="U111" s="115">
        <f t="shared" si="26"/>
        <v>0.73180401432653686</v>
      </c>
      <c r="V111" s="115">
        <f t="shared" si="27"/>
        <v>0.2982917438247038</v>
      </c>
    </row>
    <row r="112" spans="1:22" x14ac:dyDescent="0.25">
      <c r="C112" s="89">
        <v>87</v>
      </c>
      <c r="D112" s="89">
        <v>22.8872</v>
      </c>
      <c r="E112" s="89">
        <v>43.7057</v>
      </c>
      <c r="F112" s="89">
        <v>23.6496</v>
      </c>
      <c r="G112" s="89">
        <v>23.171099999999999</v>
      </c>
      <c r="H112" s="89">
        <f t="shared" si="21"/>
        <v>20.8185</v>
      </c>
      <c r="I112" s="89">
        <f t="shared" si="22"/>
        <v>0.76239999999999952</v>
      </c>
      <c r="J112" s="101">
        <f t="shared" si="23"/>
        <v>3.6621274347335282</v>
      </c>
      <c r="K112" s="89">
        <f t="shared" si="17"/>
        <v>0.47850000000000037</v>
      </c>
      <c r="L112" s="101">
        <f t="shared" si="15"/>
        <v>62.7623294858343</v>
      </c>
      <c r="M112" s="114"/>
      <c r="N112" s="114"/>
      <c r="O112" s="89">
        <f t="shared" si="20"/>
        <v>36621.274347335282</v>
      </c>
      <c r="P112" s="89">
        <f t="shared" si="16"/>
        <v>22984.36486778588</v>
      </c>
      <c r="Q112" s="114">
        <f t="shared" si="24"/>
        <v>37659.247701768531</v>
      </c>
      <c r="R112" s="114"/>
      <c r="S112" s="114"/>
      <c r="T112" s="115">
        <f t="shared" si="25"/>
        <v>0.15382534295017616</v>
      </c>
      <c r="U112" s="115">
        <f t="shared" si="26"/>
        <v>0.95893909385061826</v>
      </c>
      <c r="V112" s="115">
        <f t="shared" si="27"/>
        <v>1.3140472830442129</v>
      </c>
    </row>
    <row r="113" spans="1:22" x14ac:dyDescent="0.25">
      <c r="C113" s="89" t="s">
        <v>31</v>
      </c>
      <c r="D113" s="89">
        <v>19.992699999999999</v>
      </c>
      <c r="E113" s="89">
        <v>40.815899999999999</v>
      </c>
      <c r="F113" s="89">
        <v>20.761700000000001</v>
      </c>
      <c r="G113" s="89">
        <v>20.270700000000001</v>
      </c>
      <c r="H113" s="89">
        <f t="shared" si="21"/>
        <v>20.8232</v>
      </c>
      <c r="I113" s="89">
        <f t="shared" si="22"/>
        <v>0.7690000000000019</v>
      </c>
      <c r="J113" s="101">
        <f t="shared" si="23"/>
        <v>3.6929962733873847</v>
      </c>
      <c r="K113" s="89">
        <f t="shared" si="17"/>
        <v>0.49099999999999966</v>
      </c>
      <c r="L113" s="101">
        <f t="shared" si="15"/>
        <v>63.849154746423721</v>
      </c>
      <c r="M113" s="114"/>
      <c r="N113" s="114"/>
      <c r="O113" s="89">
        <f t="shared" si="20"/>
        <v>36929.96273387385</v>
      </c>
      <c r="P113" s="89">
        <f t="shared" si="16"/>
        <v>23579.469053747725</v>
      </c>
      <c r="Q113" s="114">
        <f t="shared" si="24"/>
        <v>31133.623352506853</v>
      </c>
      <c r="R113" s="114"/>
      <c r="S113" s="114"/>
      <c r="T113" s="115">
        <f t="shared" si="25"/>
        <v>1.2265309439354874</v>
      </c>
      <c r="U113" s="115">
        <f t="shared" si="26"/>
        <v>4.6784942735038539</v>
      </c>
      <c r="V113" s="115">
        <f t="shared" si="27"/>
        <v>7.1146486477882025</v>
      </c>
    </row>
    <row r="114" spans="1:22" x14ac:dyDescent="0.25">
      <c r="A114" s="94">
        <v>44372</v>
      </c>
      <c r="B114" s="89">
        <v>86</v>
      </c>
      <c r="C114" s="89">
        <v>85</v>
      </c>
      <c r="D114" s="89">
        <v>52.222000000000001</v>
      </c>
      <c r="E114" s="89">
        <v>72.971999999999994</v>
      </c>
      <c r="F114" s="89">
        <v>53.040100000000002</v>
      </c>
      <c r="G114" s="89">
        <v>52.511000000000003</v>
      </c>
      <c r="H114" s="89">
        <f t="shared" si="21"/>
        <v>20.749999999999993</v>
      </c>
      <c r="I114" s="89">
        <f t="shared" si="22"/>
        <v>0.81810000000000116</v>
      </c>
      <c r="J114" s="101">
        <f t="shared" si="23"/>
        <v>3.9426506024096453</v>
      </c>
      <c r="K114" s="89">
        <f t="shared" si="17"/>
        <v>0.52909999999999968</v>
      </c>
      <c r="L114" s="101">
        <f t="shared" si="15"/>
        <v>64.674245202297868</v>
      </c>
      <c r="M114" s="114">
        <f>AVERAGE(J114:J116)</f>
        <v>3.1390096348491165</v>
      </c>
      <c r="N114" s="114">
        <f>AVERAGE(L114:L116)</f>
        <v>67.200862473499953</v>
      </c>
      <c r="O114" s="89">
        <f t="shared" si="20"/>
        <v>39426.506024096452</v>
      </c>
      <c r="P114" s="89">
        <f t="shared" si="16"/>
        <v>25498.795180722886</v>
      </c>
      <c r="Q114" s="114">
        <f t="shared" si="24"/>
        <v>31390.096348491163</v>
      </c>
      <c r="R114" s="114">
        <f t="shared" si="14"/>
        <v>20726.486116590582</v>
      </c>
      <c r="S114" s="114">
        <f t="shared" si="18"/>
        <v>20.726486116590582</v>
      </c>
      <c r="T114" s="115">
        <f t="shared" si="25"/>
        <v>1.2453712876760026</v>
      </c>
      <c r="U114" s="115">
        <f t="shared" si="26"/>
        <v>4.4451927942307572</v>
      </c>
      <c r="V114" s="115">
        <f t="shared" si="27"/>
        <v>7.2951708984309063</v>
      </c>
    </row>
    <row r="115" spans="1:22" x14ac:dyDescent="0.25">
      <c r="C115" s="89" t="s">
        <v>128</v>
      </c>
      <c r="D115" s="89">
        <v>27.076799999999999</v>
      </c>
      <c r="E115" s="89">
        <v>57.825899999999997</v>
      </c>
      <c r="F115" s="89">
        <v>27.600899999999999</v>
      </c>
      <c r="G115" s="89">
        <v>27.221800000000002</v>
      </c>
      <c r="H115" s="89">
        <f>(E115-D115)</f>
        <v>30.749099999999999</v>
      </c>
      <c r="I115" s="89">
        <f>(F115-D115)</f>
        <v>0.52410000000000068</v>
      </c>
      <c r="J115" s="101">
        <f>(I115/H115)*100</f>
        <v>1.7044401299550254</v>
      </c>
      <c r="K115" s="89">
        <f t="shared" si="17"/>
        <v>0.37909999999999755</v>
      </c>
      <c r="L115" s="101">
        <f t="shared" si="15"/>
        <v>72.333524136614585</v>
      </c>
      <c r="M115" s="114"/>
      <c r="N115" s="114"/>
      <c r="O115" s="89">
        <f t="shared" si="20"/>
        <v>17044.401299550253</v>
      </c>
      <c r="P115" s="89">
        <f t="shared" si="16"/>
        <v>12328.816127951633</v>
      </c>
      <c r="Q115" s="114">
        <f t="shared" si="24"/>
        <v>30885.429937282373</v>
      </c>
      <c r="R115" s="114"/>
      <c r="S115" s="114"/>
      <c r="T115" s="115">
        <f t="shared" si="25"/>
        <v>1.1987156080013806</v>
      </c>
      <c r="U115" s="115">
        <f t="shared" si="26"/>
        <v>3.9554253938446906</v>
      </c>
      <c r="V115" s="115">
        <f t="shared" si="27"/>
        <v>7.6358776798192611</v>
      </c>
    </row>
    <row r="116" spans="1:22" x14ac:dyDescent="0.25">
      <c r="C116" s="89" t="s">
        <v>83</v>
      </c>
      <c r="D116" s="89">
        <v>25.521599999999999</v>
      </c>
      <c r="E116" s="89">
        <v>44.768599999999999</v>
      </c>
      <c r="F116" s="89">
        <v>26.247199999999999</v>
      </c>
      <c r="G116" s="89">
        <v>25.778500000000001</v>
      </c>
      <c r="H116" s="89">
        <f t="shared" si="21"/>
        <v>19.247</v>
      </c>
      <c r="I116" s="89">
        <f t="shared" si="22"/>
        <v>0.72560000000000002</v>
      </c>
      <c r="J116" s="101">
        <f t="shared" si="23"/>
        <v>3.7699381721826781</v>
      </c>
      <c r="K116" s="89">
        <f t="shared" si="17"/>
        <v>0.46869999999999834</v>
      </c>
      <c r="L116" s="101">
        <f t="shared" si="15"/>
        <v>64.59481808158742</v>
      </c>
      <c r="M116" s="114"/>
      <c r="N116" s="114"/>
      <c r="O116" s="89">
        <f t="shared" si="20"/>
        <v>37699.38172182678</v>
      </c>
      <c r="P116" s="89">
        <f t="shared" si="16"/>
        <v>24351.84704109723</v>
      </c>
      <c r="Q116" s="114">
        <f t="shared" si="24"/>
        <v>37759.262028239958</v>
      </c>
      <c r="R116" s="114"/>
      <c r="S116" s="114"/>
      <c r="T116" s="115">
        <f t="shared" si="25"/>
        <v>1.337657090907499E-2</v>
      </c>
      <c r="U116" s="115">
        <f t="shared" si="26"/>
        <v>2.9469635411519004</v>
      </c>
      <c r="V116" s="115">
        <f t="shared" si="27"/>
        <v>1.1559886697540249</v>
      </c>
    </row>
    <row r="117" spans="1:22" x14ac:dyDescent="0.25">
      <c r="A117" s="94">
        <v>44375</v>
      </c>
      <c r="B117" s="89">
        <v>89</v>
      </c>
      <c r="C117" s="89" t="s">
        <v>40</v>
      </c>
      <c r="D117" s="89">
        <v>23.892900000000001</v>
      </c>
      <c r="E117" s="89">
        <v>45.7986</v>
      </c>
      <c r="F117" s="89">
        <v>24.723400000000002</v>
      </c>
      <c r="G117" s="89">
        <v>24.143000000000001</v>
      </c>
      <c r="H117" s="89">
        <f t="shared" si="21"/>
        <v>21.9057</v>
      </c>
      <c r="I117" s="89">
        <f t="shared" si="22"/>
        <v>0.83050000000000068</v>
      </c>
      <c r="J117" s="101">
        <f t="shared" si="23"/>
        <v>3.7912506790470091</v>
      </c>
      <c r="K117" s="89">
        <f t="shared" si="17"/>
        <v>0.58040000000000092</v>
      </c>
      <c r="L117" s="101">
        <f t="shared" si="15"/>
        <v>69.885611077664109</v>
      </c>
      <c r="M117" s="114">
        <f t="shared" si="28"/>
        <v>3.7643864940595466</v>
      </c>
      <c r="N117" s="114">
        <f>AVERAGE(L117:L119)</f>
        <v>68.754020567890464</v>
      </c>
      <c r="O117" s="89">
        <f t="shared" si="20"/>
        <v>37912.506790470092</v>
      </c>
      <c r="P117" s="89">
        <f t="shared" si="16"/>
        <v>26495.387045380925</v>
      </c>
      <c r="Q117" s="114">
        <f t="shared" si="24"/>
        <v>37643.864940595464</v>
      </c>
      <c r="R117" s="114">
        <f t="shared" si="24"/>
        <v>25884.547029498255</v>
      </c>
      <c r="S117" s="114">
        <f t="shared" si="18"/>
        <v>25.884547029498254</v>
      </c>
      <c r="T117" s="115">
        <f t="shared" si="25"/>
        <v>2.803083433311699E-2</v>
      </c>
      <c r="U117" s="115">
        <f t="shared" si="26"/>
        <v>1.6290376194935148</v>
      </c>
      <c r="V117" s="115">
        <f t="shared" si="27"/>
        <v>0.79595552802091329</v>
      </c>
    </row>
    <row r="118" spans="1:22" x14ac:dyDescent="0.25">
      <c r="C118" s="89" t="s">
        <v>95</v>
      </c>
      <c r="D118" s="89">
        <v>25.640499999999999</v>
      </c>
      <c r="E118" s="89">
        <v>45.924100000000003</v>
      </c>
      <c r="F118" s="89">
        <v>26.404499999999999</v>
      </c>
      <c r="G118" s="89">
        <v>25.8736</v>
      </c>
      <c r="H118" s="89">
        <f t="shared" si="21"/>
        <v>20.283600000000003</v>
      </c>
      <c r="I118" s="89">
        <f t="shared" si="22"/>
        <v>0.76399999999999935</v>
      </c>
      <c r="J118" s="101">
        <f t="shared" si="23"/>
        <v>3.7665897572423002</v>
      </c>
      <c r="K118" s="89">
        <f t="shared" si="17"/>
        <v>0.53089999999999904</v>
      </c>
      <c r="L118" s="101">
        <f t="shared" si="15"/>
        <v>69.489528795811452</v>
      </c>
      <c r="M118" s="114"/>
      <c r="N118" s="114"/>
      <c r="O118" s="89">
        <f t="shared" si="20"/>
        <v>37665.897572423004</v>
      </c>
      <c r="P118" s="89">
        <f t="shared" si="16"/>
        <v>26173.854739789731</v>
      </c>
      <c r="Q118" s="114">
        <f t="shared" si="24"/>
        <v>36796.313647985546</v>
      </c>
      <c r="R118" s="114"/>
      <c r="S118" s="114"/>
      <c r="T118" s="115">
        <f t="shared" si="25"/>
        <v>0.1245206451486754</v>
      </c>
      <c r="U118" s="115">
        <f t="shared" si="26"/>
        <v>1.317002881518663</v>
      </c>
      <c r="V118" s="115">
        <f t="shared" si="27"/>
        <v>1.0915049156661853</v>
      </c>
    </row>
    <row r="119" spans="1:22" x14ac:dyDescent="0.25">
      <c r="C119" s="89" t="s">
        <v>133</v>
      </c>
      <c r="D119" s="89">
        <v>19.9847</v>
      </c>
      <c r="E119" s="89">
        <v>41.458100000000002</v>
      </c>
      <c r="F119" s="89">
        <v>20.786799999999999</v>
      </c>
      <c r="G119" s="89">
        <v>20.250299999999999</v>
      </c>
      <c r="H119" s="89">
        <f t="shared" si="21"/>
        <v>21.473400000000002</v>
      </c>
      <c r="I119" s="89">
        <f t="shared" si="22"/>
        <v>0.80209999999999937</v>
      </c>
      <c r="J119" s="101">
        <f t="shared" si="23"/>
        <v>3.7353190458893302</v>
      </c>
      <c r="K119" s="89">
        <f t="shared" si="17"/>
        <v>0.5365000000000002</v>
      </c>
      <c r="L119" s="101">
        <f t="shared" si="15"/>
        <v>66.886921830195817</v>
      </c>
      <c r="M119" s="114"/>
      <c r="N119" s="114"/>
      <c r="O119" s="89">
        <f t="shared" si="20"/>
        <v>37353.190458893303</v>
      </c>
      <c r="P119" s="89">
        <f t="shared" si="16"/>
        <v>24984.39930332412</v>
      </c>
      <c r="Q119" s="114">
        <f t="shared" si="24"/>
        <v>35747.321654803411</v>
      </c>
      <c r="R119" s="114"/>
      <c r="S119" s="114"/>
      <c r="T119" s="115">
        <f t="shared" si="25"/>
        <v>0.14543493355107345</v>
      </c>
      <c r="U119" s="115">
        <f t="shared" si="26"/>
        <v>0.66083603653105627</v>
      </c>
      <c r="V119" s="115">
        <f t="shared" si="27"/>
        <v>1.0032330205176581</v>
      </c>
    </row>
    <row r="120" spans="1:22" x14ac:dyDescent="0.25">
      <c r="A120" s="94">
        <v>44377</v>
      </c>
      <c r="B120" s="89">
        <v>91</v>
      </c>
      <c r="C120" s="89">
        <v>6</v>
      </c>
      <c r="D120" s="89">
        <v>21.145299999999999</v>
      </c>
      <c r="E120" s="89">
        <v>41.758899999999997</v>
      </c>
      <c r="F120" s="89">
        <v>21.874400000000001</v>
      </c>
      <c r="G120" s="89">
        <v>21.379799999999999</v>
      </c>
      <c r="H120" s="89">
        <f t="shared" si="21"/>
        <v>20.613599999999998</v>
      </c>
      <c r="I120" s="89">
        <f t="shared" si="22"/>
        <v>0.72910000000000252</v>
      </c>
      <c r="J120" s="101">
        <f t="shared" si="23"/>
        <v>3.5369852912640325</v>
      </c>
      <c r="K120" s="89">
        <f t="shared" si="17"/>
        <v>0.49460000000000193</v>
      </c>
      <c r="L120" s="101">
        <f t="shared" si="15"/>
        <v>67.83705938828696</v>
      </c>
      <c r="M120" s="114">
        <f t="shared" si="28"/>
        <v>3.4757203741766851</v>
      </c>
      <c r="N120" s="114">
        <f t="shared" si="29"/>
        <v>67.299342238399134</v>
      </c>
      <c r="O120" s="89">
        <f t="shared" si="20"/>
        <v>35369.852912640323</v>
      </c>
      <c r="P120" s="89">
        <f t="shared" si="16"/>
        <v>23993.868125897563</v>
      </c>
      <c r="Q120" s="114">
        <f t="shared" si="24"/>
        <v>34757.203741766847</v>
      </c>
      <c r="R120" s="114">
        <f t="shared" si="24"/>
        <v>23392.806120561156</v>
      </c>
      <c r="S120" s="114">
        <f t="shared" si="18"/>
        <v>23.392806120561154</v>
      </c>
      <c r="T120" s="115">
        <f t="shared" si="25"/>
        <v>5.3491497277619052E-2</v>
      </c>
      <c r="U120" s="115">
        <f t="shared" si="26"/>
        <v>0.65747514565047471</v>
      </c>
      <c r="V120" s="115">
        <f t="shared" si="27"/>
        <v>0.53293386649254626</v>
      </c>
    </row>
    <row r="121" spans="1:22" x14ac:dyDescent="0.25">
      <c r="C121" s="89">
        <v>87</v>
      </c>
      <c r="D121" s="89">
        <v>22.883099999999999</v>
      </c>
      <c r="E121" s="89">
        <v>43.098100000000002</v>
      </c>
      <c r="F121" s="89">
        <v>23.5809</v>
      </c>
      <c r="G121" s="89">
        <v>23.116399999999999</v>
      </c>
      <c r="H121" s="89">
        <f t="shared" si="21"/>
        <v>20.215000000000003</v>
      </c>
      <c r="I121" s="89">
        <f t="shared" si="22"/>
        <v>0.69780000000000086</v>
      </c>
      <c r="J121" s="101">
        <f t="shared" si="23"/>
        <v>3.4518921592876617</v>
      </c>
      <c r="K121" s="89">
        <f t="shared" si="17"/>
        <v>0.46450000000000102</v>
      </c>
      <c r="L121" s="101">
        <f t="shared" si="15"/>
        <v>66.566351390083184</v>
      </c>
      <c r="M121" s="114"/>
      <c r="N121" s="114"/>
      <c r="O121" s="89">
        <f t="shared" si="20"/>
        <v>34518.921592876613</v>
      </c>
      <c r="P121" s="89">
        <f t="shared" si="16"/>
        <v>22977.986643581546</v>
      </c>
      <c r="Q121" s="114">
        <f t="shared" si="24"/>
        <v>34193.304010718879</v>
      </c>
      <c r="R121" s="114"/>
      <c r="S121" s="114"/>
      <c r="T121" s="115">
        <f t="shared" si="25"/>
        <v>4.5129218925340359E-2</v>
      </c>
      <c r="U121" s="115">
        <f t="shared" si="26"/>
        <v>0.50040206977964363</v>
      </c>
      <c r="V121" s="115">
        <f t="shared" si="27"/>
        <v>0.37947364936198036</v>
      </c>
    </row>
    <row r="122" spans="1:22" x14ac:dyDescent="0.25">
      <c r="C122" s="89">
        <v>84</v>
      </c>
      <c r="D122" s="89">
        <v>26.2605</v>
      </c>
      <c r="E122" s="89">
        <v>46.517699999999998</v>
      </c>
      <c r="F122" s="89">
        <v>26.957000000000001</v>
      </c>
      <c r="G122" s="89">
        <v>26.486899999999999</v>
      </c>
      <c r="H122" s="89">
        <f t="shared" si="21"/>
        <v>20.257199999999997</v>
      </c>
      <c r="I122" s="89">
        <f t="shared" si="22"/>
        <v>0.69650000000000034</v>
      </c>
      <c r="J122" s="101">
        <f t="shared" si="23"/>
        <v>3.4382836719783607</v>
      </c>
      <c r="K122" s="89">
        <f t="shared" si="17"/>
        <v>0.47010000000000218</v>
      </c>
      <c r="L122" s="101">
        <f t="shared" si="15"/>
        <v>67.494615936827273</v>
      </c>
      <c r="M122" s="114"/>
      <c r="N122" s="114"/>
      <c r="O122" s="89">
        <f t="shared" si="20"/>
        <v>34382.836719783605</v>
      </c>
      <c r="P122" s="89">
        <f t="shared" si="16"/>
        <v>23206.563592204366</v>
      </c>
      <c r="Q122" s="114">
        <f t="shared" si="24"/>
        <v>34159.902184090541</v>
      </c>
      <c r="R122" s="114"/>
      <c r="S122" s="114"/>
      <c r="T122" s="115">
        <f t="shared" si="25"/>
        <v>4.1759193008048257E-2</v>
      </c>
      <c r="U122" s="115">
        <f t="shared" si="26"/>
        <v>0.51227261830756554</v>
      </c>
      <c r="V122" s="115">
        <f t="shared" si="27"/>
        <v>0.45394527017476344</v>
      </c>
    </row>
    <row r="123" spans="1:22" x14ac:dyDescent="0.25">
      <c r="A123" s="94">
        <v>44379</v>
      </c>
      <c r="B123" s="89">
        <v>93</v>
      </c>
      <c r="C123" s="89" t="s">
        <v>134</v>
      </c>
      <c r="D123" s="89">
        <v>24.613299999999999</v>
      </c>
      <c r="E123" s="89">
        <v>46.963099999999997</v>
      </c>
      <c r="F123" s="89">
        <v>25.366</v>
      </c>
      <c r="G123" s="89">
        <v>24.863900000000001</v>
      </c>
      <c r="H123" s="89">
        <f t="shared" si="21"/>
        <v>22.349799999999998</v>
      </c>
      <c r="I123" s="89">
        <f t="shared" si="22"/>
        <v>0.75270000000000081</v>
      </c>
      <c r="J123" s="101">
        <f t="shared" si="23"/>
        <v>3.3678153719496411</v>
      </c>
      <c r="K123" s="89">
        <f t="shared" si="17"/>
        <v>0.50209999999999866</v>
      </c>
      <c r="L123" s="101">
        <f t="shared" si="15"/>
        <v>66.706523183206869</v>
      </c>
      <c r="M123" s="114">
        <f t="shared" si="28"/>
        <v>3.4632635108064798</v>
      </c>
      <c r="N123" s="114">
        <f t="shared" si="29"/>
        <v>67.685593239544986</v>
      </c>
      <c r="O123" s="89">
        <f t="shared" si="20"/>
        <v>33678.153719496411</v>
      </c>
      <c r="P123" s="89">
        <f t="shared" si="16"/>
        <v>22465.52541857192</v>
      </c>
      <c r="Q123" s="114">
        <f t="shared" si="24"/>
        <v>34632.635108064802</v>
      </c>
      <c r="R123" s="114">
        <f t="shared" si="24"/>
        <v>23448.315892319883</v>
      </c>
      <c r="S123" s="114">
        <f t="shared" si="18"/>
        <v>23.448315892319883</v>
      </c>
      <c r="T123" s="115">
        <f t="shared" si="25"/>
        <v>0.10774867781254684</v>
      </c>
      <c r="U123" s="115">
        <f t="shared" si="26"/>
        <v>0.98822190724497072</v>
      </c>
      <c r="V123" s="115">
        <f t="shared" si="27"/>
        <v>1.070582063353011</v>
      </c>
    </row>
    <row r="124" spans="1:22" x14ac:dyDescent="0.25">
      <c r="C124" s="89" t="s">
        <v>135</v>
      </c>
      <c r="D124" s="89">
        <v>24.589500000000001</v>
      </c>
      <c r="E124" s="89">
        <v>44.619300000000003</v>
      </c>
      <c r="F124" s="89">
        <v>25.2789</v>
      </c>
      <c r="G124" s="89">
        <v>24.8124</v>
      </c>
      <c r="H124" s="89">
        <f t="shared" si="21"/>
        <v>20.029800000000002</v>
      </c>
      <c r="I124" s="89">
        <f t="shared" si="22"/>
        <v>0.68939999999999912</v>
      </c>
      <c r="J124" s="101">
        <f t="shared" si="23"/>
        <v>3.4418716112991596</v>
      </c>
      <c r="K124" s="89">
        <f t="shared" si="17"/>
        <v>0.46649999999999991</v>
      </c>
      <c r="L124" s="101">
        <f t="shared" si="15"/>
        <v>67.667536988685882</v>
      </c>
      <c r="M124" s="114"/>
      <c r="N124" s="114"/>
      <c r="O124" s="89">
        <f t="shared" si="20"/>
        <v>34418.716112991598</v>
      </c>
      <c r="P124" s="89">
        <f t="shared" si="16"/>
        <v>23290.29745678938</v>
      </c>
      <c r="Q124" s="114">
        <f t="shared" si="24"/>
        <v>35076.129919383413</v>
      </c>
      <c r="R124" s="114"/>
      <c r="S124" s="114"/>
      <c r="T124" s="115">
        <f t="shared" si="25"/>
        <v>6.9362675124594278E-2</v>
      </c>
      <c r="U124" s="115">
        <f t="shared" si="26"/>
        <v>1.1773112481888657</v>
      </c>
      <c r="V124" s="115">
        <f t="shared" si="27"/>
        <v>0.72845451439856967</v>
      </c>
    </row>
    <row r="125" spans="1:22" x14ac:dyDescent="0.25">
      <c r="C125" s="89">
        <v>84</v>
      </c>
      <c r="D125" s="89">
        <v>22.032499999999999</v>
      </c>
      <c r="E125" s="89">
        <v>41.752600000000001</v>
      </c>
      <c r="F125" s="89">
        <v>22.738499999999998</v>
      </c>
      <c r="G125" s="89">
        <v>22.253599999999999</v>
      </c>
      <c r="H125" s="89">
        <f t="shared" si="21"/>
        <v>19.720100000000002</v>
      </c>
      <c r="I125" s="89">
        <f t="shared" si="22"/>
        <v>0.70599999999999952</v>
      </c>
      <c r="J125" s="101">
        <f t="shared" si="23"/>
        <v>3.5801035491706399</v>
      </c>
      <c r="K125" s="89">
        <f t="shared" si="17"/>
        <v>0.48489999999999966</v>
      </c>
      <c r="L125" s="101">
        <f t="shared" si="15"/>
        <v>68.682719546742206</v>
      </c>
      <c r="M125" s="114"/>
      <c r="N125" s="114"/>
      <c r="O125" s="89">
        <f t="shared" si="20"/>
        <v>35801.035491706403</v>
      </c>
      <c r="P125" s="89">
        <f t="shared" si="16"/>
        <v>24589.124801598351</v>
      </c>
      <c r="Q125" s="114">
        <f t="shared" si="24"/>
        <v>34927.012587330035</v>
      </c>
      <c r="R125" s="114"/>
      <c r="S125" s="114"/>
      <c r="T125" s="115">
        <f t="shared" si="25"/>
        <v>9.1756274161103601E-2</v>
      </c>
      <c r="U125" s="115">
        <f t="shared" si="26"/>
        <v>0.68157922534965687</v>
      </c>
      <c r="V125" s="115">
        <f t="shared" si="27"/>
        <v>0.5248831713890364</v>
      </c>
    </row>
    <row r="126" spans="1:22" x14ac:dyDescent="0.25">
      <c r="A126" s="94">
        <v>44382</v>
      </c>
      <c r="B126" s="89">
        <v>96</v>
      </c>
      <c r="C126" s="89" t="s">
        <v>135</v>
      </c>
      <c r="D126" s="89">
        <v>24.5959</v>
      </c>
      <c r="E126" s="89">
        <v>47.401699999999998</v>
      </c>
      <c r="F126" s="89">
        <v>25.394300000000001</v>
      </c>
      <c r="G126" s="89">
        <v>24.8353</v>
      </c>
      <c r="H126" s="89">
        <f t="shared" si="21"/>
        <v>22.805799999999998</v>
      </c>
      <c r="I126" s="89">
        <f t="shared" si="22"/>
        <v>0.79840000000000089</v>
      </c>
      <c r="J126" s="101">
        <f t="shared" si="23"/>
        <v>3.5008638153452232</v>
      </c>
      <c r="K126" s="89">
        <f t="shared" si="17"/>
        <v>0.55900000000000105</v>
      </c>
      <c r="L126" s="101">
        <f t="shared" si="15"/>
        <v>70.015030060120296</v>
      </c>
      <c r="M126" s="114">
        <f t="shared" si="28"/>
        <v>3.4974873731208667</v>
      </c>
      <c r="N126" s="114">
        <f t="shared" si="29"/>
        <v>69.792450195396086</v>
      </c>
      <c r="O126" s="89">
        <f t="shared" si="20"/>
        <v>35008.63815345223</v>
      </c>
      <c r="P126" s="89">
        <f>((F126-G126)/(H126))*1000000</f>
        <v>24511.308526778324</v>
      </c>
      <c r="Q126" s="114">
        <f t="shared" si="24"/>
        <v>34974.873731208667</v>
      </c>
      <c r="R126" s="114">
        <f>AVERAGE(P126:P128)</f>
        <v>24410.401953282297</v>
      </c>
      <c r="S126" s="114">
        <f t="shared" si="18"/>
        <v>24.410401953282296</v>
      </c>
      <c r="T126" s="115">
        <f t="shared" si="25"/>
        <v>9.870606161789755E-2</v>
      </c>
      <c r="U126" s="115">
        <f t="shared" si="26"/>
        <v>0.2096966535587666</v>
      </c>
      <c r="V126" s="115">
        <f t="shared" si="27"/>
        <v>0.72166562842875448</v>
      </c>
    </row>
    <row r="127" spans="1:22" x14ac:dyDescent="0.25">
      <c r="C127" s="89">
        <v>87</v>
      </c>
      <c r="D127" s="89">
        <v>22.893599999999999</v>
      </c>
      <c r="E127" s="89">
        <v>44.747300000000003</v>
      </c>
      <c r="F127" s="89">
        <v>23.635999999999999</v>
      </c>
      <c r="G127" s="89">
        <v>23.119299999999999</v>
      </c>
      <c r="H127" s="89">
        <f t="shared" si="21"/>
        <v>21.853700000000003</v>
      </c>
      <c r="I127" s="89">
        <f t="shared" si="22"/>
        <v>0.74239999999999995</v>
      </c>
      <c r="J127" s="101">
        <f t="shared" si="23"/>
        <v>3.3971364116831464</v>
      </c>
      <c r="K127" s="89">
        <f t="shared" si="17"/>
        <v>0.51670000000000016</v>
      </c>
      <c r="L127" s="101">
        <f t="shared" ref="L127:L209" si="30">(K127/I127)*100</f>
        <v>69.59859913793106</v>
      </c>
      <c r="M127" s="114"/>
      <c r="N127" s="114"/>
      <c r="O127" s="89">
        <f t="shared" si="20"/>
        <v>33971.364116831464</v>
      </c>
      <c r="P127" s="89">
        <f t="shared" ref="P127:P190" si="31">((F127-G127)/(H127))*1000000</f>
        <v>23643.59353336049</v>
      </c>
      <c r="Q127" s="114">
        <f t="shared" si="24"/>
        <v>34690.141258035001</v>
      </c>
      <c r="R127" s="114"/>
      <c r="S127" s="114"/>
      <c r="T127" s="115">
        <f t="shared" si="25"/>
        <v>0.10902591075053333</v>
      </c>
      <c r="U127" s="115">
        <f t="shared" si="26"/>
        <v>0.80645513836752003</v>
      </c>
      <c r="V127" s="115">
        <f t="shared" si="27"/>
        <v>0.93298027155330332</v>
      </c>
    </row>
    <row r="128" spans="1:22" x14ac:dyDescent="0.25">
      <c r="C128" s="89">
        <v>25</v>
      </c>
      <c r="D128" s="89">
        <v>25.689499999999999</v>
      </c>
      <c r="E128" s="89">
        <v>48.296500000000002</v>
      </c>
      <c r="F128" s="89">
        <v>26.502099999999999</v>
      </c>
      <c r="G128" s="89">
        <v>25.935199999999998</v>
      </c>
      <c r="H128" s="89">
        <f t="shared" si="21"/>
        <v>22.607000000000003</v>
      </c>
      <c r="I128" s="89">
        <f t="shared" si="22"/>
        <v>0.81259999999999977</v>
      </c>
      <c r="J128" s="101">
        <f t="shared" si="23"/>
        <v>3.5944618923342309</v>
      </c>
      <c r="K128" s="89">
        <f t="shared" si="17"/>
        <v>0.5669000000000004</v>
      </c>
      <c r="L128" s="101">
        <f t="shared" si="30"/>
        <v>69.763721388136915</v>
      </c>
      <c r="M128" s="114"/>
      <c r="N128" s="114"/>
      <c r="O128" s="89">
        <f t="shared" si="20"/>
        <v>35944.618923342307</v>
      </c>
      <c r="P128" s="89">
        <f t="shared" si="31"/>
        <v>25076.303799708068</v>
      </c>
      <c r="Q128" s="114">
        <f t="shared" si="24"/>
        <v>34902.054047868041</v>
      </c>
      <c r="R128" s="114"/>
      <c r="S128" s="114"/>
      <c r="T128" s="115">
        <f t="shared" si="25"/>
        <v>9.3082318686247695E-2</v>
      </c>
      <c r="U128" s="115">
        <f t="shared" si="26"/>
        <v>0.81280702998655385</v>
      </c>
      <c r="V128" s="115">
        <f t="shared" si="27"/>
        <v>0.92561516126008225</v>
      </c>
    </row>
    <row r="129" spans="1:22" x14ac:dyDescent="0.25">
      <c r="A129" s="94">
        <v>44384</v>
      </c>
      <c r="B129" s="89">
        <v>98</v>
      </c>
      <c r="C129" s="89" t="s">
        <v>128</v>
      </c>
      <c r="D129" s="89">
        <v>18.853999999999999</v>
      </c>
      <c r="E129" s="89">
        <v>40.174799999999998</v>
      </c>
      <c r="F129" s="89">
        <v>19.5822</v>
      </c>
      <c r="G129" s="89">
        <v>19.084900000000001</v>
      </c>
      <c r="H129" s="89">
        <f t="shared" si="21"/>
        <v>21.320799999999998</v>
      </c>
      <c r="I129" s="89">
        <f t="shared" si="22"/>
        <v>0.72820000000000107</v>
      </c>
      <c r="J129" s="101">
        <f t="shared" si="23"/>
        <v>3.4154440733931235</v>
      </c>
      <c r="K129" s="89">
        <f t="shared" si="17"/>
        <v>0.49729999999999919</v>
      </c>
      <c r="L129" s="101">
        <f t="shared" si="30"/>
        <v>68.291678110409009</v>
      </c>
      <c r="M129" s="114">
        <f t="shared" si="28"/>
        <v>3.3598318747801077</v>
      </c>
      <c r="N129" s="114">
        <f t="shared" si="29"/>
        <v>67.879823156823861</v>
      </c>
      <c r="O129" s="89">
        <f t="shared" si="20"/>
        <v>34154.440733931238</v>
      </c>
      <c r="P129" s="89">
        <f t="shared" si="31"/>
        <v>23324.64072642674</v>
      </c>
      <c r="Q129" s="114">
        <f t="shared" si="24"/>
        <v>33598.318747801073</v>
      </c>
      <c r="R129" s="114">
        <f t="shared" si="24"/>
        <v>22814.114472086756</v>
      </c>
      <c r="S129" s="114">
        <f t="shared" si="18"/>
        <v>22.814114472086757</v>
      </c>
      <c r="T129" s="115">
        <f t="shared" si="25"/>
        <v>0.13740171435705387</v>
      </c>
      <c r="U129" s="115">
        <f t="shared" si="26"/>
        <v>0.83635987629470387</v>
      </c>
      <c r="V129" s="115">
        <f t="shared" si="27"/>
        <v>1.2068279172544745</v>
      </c>
    </row>
    <row r="130" spans="1:22" x14ac:dyDescent="0.25">
      <c r="C130" s="89">
        <v>6</v>
      </c>
      <c r="D130" s="89">
        <v>21.148299999999999</v>
      </c>
      <c r="E130" s="89">
        <v>40.699199999999998</v>
      </c>
      <c r="F130" s="89">
        <v>21.8249</v>
      </c>
      <c r="G130" s="89">
        <v>21.361899999999999</v>
      </c>
      <c r="H130" s="89">
        <f t="shared" si="21"/>
        <v>19.550899999999999</v>
      </c>
      <c r="I130" s="89">
        <f t="shared" si="22"/>
        <v>0.67660000000000053</v>
      </c>
      <c r="J130" s="101">
        <f t="shared" si="23"/>
        <v>3.4607102486330579</v>
      </c>
      <c r="K130" s="89">
        <f t="shared" si="17"/>
        <v>0.46300000000000097</v>
      </c>
      <c r="L130" s="101">
        <f t="shared" si="30"/>
        <v>68.430387230269091</v>
      </c>
      <c r="M130" s="114"/>
      <c r="N130" s="114"/>
      <c r="O130" s="89">
        <f t="shared" si="20"/>
        <v>34607.102486330579</v>
      </c>
      <c r="P130" s="89">
        <f t="shared" si="31"/>
        <v>23681.774240572096</v>
      </c>
      <c r="Q130" s="114">
        <f t="shared" si="24"/>
        <v>35339.153166036005</v>
      </c>
      <c r="R130" s="114"/>
      <c r="S130" s="114"/>
      <c r="T130" s="115">
        <f t="shared" si="25"/>
        <v>0.37260951958501271</v>
      </c>
      <c r="U130" s="115">
        <f t="shared" si="26"/>
        <v>5.5011133235659591</v>
      </c>
      <c r="V130" s="115">
        <f t="shared" si="27"/>
        <v>4.6442109673922447</v>
      </c>
    </row>
    <row r="131" spans="1:22" x14ac:dyDescent="0.25">
      <c r="C131" s="89" t="s">
        <v>136</v>
      </c>
      <c r="D131" s="89">
        <v>25.531500000000001</v>
      </c>
      <c r="E131" s="89">
        <v>46.696899999999999</v>
      </c>
      <c r="F131" s="89">
        <v>26.209499999999998</v>
      </c>
      <c r="G131" s="89">
        <v>25.755800000000001</v>
      </c>
      <c r="H131" s="89">
        <f t="shared" si="21"/>
        <v>21.165399999999998</v>
      </c>
      <c r="I131" s="89">
        <f t="shared" si="22"/>
        <v>0.67799999999999727</v>
      </c>
      <c r="J131" s="101">
        <f t="shared" si="23"/>
        <v>3.2033413023141417</v>
      </c>
      <c r="K131" s="89">
        <f t="shared" ref="K131:K209" si="32">I131-(G131-D131)</f>
        <v>0.45369999999999777</v>
      </c>
      <c r="L131" s="101">
        <f t="shared" si="30"/>
        <v>66.917404129793454</v>
      </c>
      <c r="M131" s="114"/>
      <c r="N131" s="114"/>
      <c r="O131" s="89">
        <f t="shared" si="20"/>
        <v>32033.413023141416</v>
      </c>
      <c r="P131" s="89">
        <f t="shared" si="31"/>
        <v>21435.928449261428</v>
      </c>
      <c r="Q131" s="114">
        <f t="shared" si="24"/>
        <v>36720.629038711275</v>
      </c>
      <c r="R131" s="114"/>
      <c r="S131" s="114"/>
      <c r="T131" s="115">
        <f t="shared" si="25"/>
        <v>0.4071275121399115</v>
      </c>
      <c r="U131" s="115">
        <f t="shared" si="26"/>
        <v>5.8581377398714221</v>
      </c>
      <c r="V131" s="115">
        <f t="shared" si="27"/>
        <v>5.0115239067907522</v>
      </c>
    </row>
    <row r="132" spans="1:22" x14ac:dyDescent="0.25">
      <c r="A132" s="94">
        <v>44417</v>
      </c>
      <c r="B132" s="89">
        <v>100</v>
      </c>
      <c r="C132" s="89" t="s">
        <v>85</v>
      </c>
      <c r="D132" s="89">
        <v>38.822499999999998</v>
      </c>
      <c r="E132" s="89">
        <v>59.238</v>
      </c>
      <c r="F132" s="89">
        <v>39.626399999999997</v>
      </c>
      <c r="G132" s="89">
        <v>39.006500000000003</v>
      </c>
      <c r="H132" s="89">
        <f t="shared" si="21"/>
        <v>20.415500000000002</v>
      </c>
      <c r="I132" s="89">
        <f t="shared" si="22"/>
        <v>0.80389999999999873</v>
      </c>
      <c r="J132" s="101">
        <f t="shared" si="23"/>
        <v>3.9376943988636017</v>
      </c>
      <c r="K132" s="89">
        <f t="shared" si="32"/>
        <v>0.61989999999999412</v>
      </c>
      <c r="L132" s="101">
        <f t="shared" si="30"/>
        <v>77.111581042417598</v>
      </c>
      <c r="M132" s="114">
        <f>AVERAGE(J132:J134)</f>
        <v>3.8871111254062742</v>
      </c>
      <c r="N132" s="114">
        <f t="shared" si="29"/>
        <v>76.762810516829461</v>
      </c>
      <c r="O132" s="89">
        <f t="shared" si="20"/>
        <v>39376.94398863602</v>
      </c>
      <c r="P132" s="89">
        <f t="shared" si="31"/>
        <v>30364.184075824451</v>
      </c>
      <c r="Q132" s="114">
        <f t="shared" si="24"/>
        <v>38871.111254062744</v>
      </c>
      <c r="R132" s="114">
        <f t="shared" si="24"/>
        <v>29839.81940955792</v>
      </c>
      <c r="S132" s="114">
        <f t="shared" ref="S132:S195" si="33">((R132*1)/1000)</f>
        <v>29.839819409557919</v>
      </c>
      <c r="T132" s="115">
        <f t="shared" si="25"/>
        <v>4.5790648256122585E-2</v>
      </c>
      <c r="U132" s="115">
        <f t="shared" si="26"/>
        <v>0.52328021366076327</v>
      </c>
      <c r="V132" s="115">
        <f t="shared" si="27"/>
        <v>0.52685983112890133</v>
      </c>
    </row>
    <row r="133" spans="1:22" x14ac:dyDescent="0.25">
      <c r="C133" s="89">
        <v>2</v>
      </c>
      <c r="D133" s="89">
        <v>36.295900000000003</v>
      </c>
      <c r="E133" s="89">
        <v>57.291200000000003</v>
      </c>
      <c r="F133" s="89">
        <v>37.109499999999997</v>
      </c>
      <c r="G133" s="89">
        <v>36.482900000000001</v>
      </c>
      <c r="H133" s="89">
        <f t="shared" si="21"/>
        <v>20.9953</v>
      </c>
      <c r="I133" s="89">
        <f t="shared" si="22"/>
        <v>0.81359999999999388</v>
      </c>
      <c r="J133" s="101">
        <f t="shared" si="23"/>
        <v>3.87515301043564</v>
      </c>
      <c r="K133" s="89">
        <f t="shared" si="32"/>
        <v>0.62659999999999627</v>
      </c>
      <c r="L133" s="101">
        <f t="shared" si="30"/>
        <v>77.015732546706118</v>
      </c>
      <c r="M133" s="114"/>
      <c r="N133" s="114"/>
      <c r="O133" s="89">
        <f t="shared" si="20"/>
        <v>38751.530104356396</v>
      </c>
      <c r="P133" s="89">
        <f t="shared" si="31"/>
        <v>29844.77478292743</v>
      </c>
      <c r="Q133" s="114">
        <f t="shared" si="24"/>
        <v>37991.506026261661</v>
      </c>
      <c r="R133" s="114"/>
      <c r="S133" s="114"/>
      <c r="T133" s="115">
        <f t="shared" si="25"/>
        <v>0.10936155923933516</v>
      </c>
      <c r="U133" s="115">
        <f t="shared" si="26"/>
        <v>1.9439364609453604</v>
      </c>
      <c r="V133" s="115">
        <f t="shared" si="27"/>
        <v>1.5515322113728869</v>
      </c>
    </row>
    <row r="134" spans="1:22" x14ac:dyDescent="0.25">
      <c r="C134" s="89" t="s">
        <v>91</v>
      </c>
      <c r="D134" s="89">
        <v>42.213799999999999</v>
      </c>
      <c r="E134" s="89">
        <v>61.179699999999997</v>
      </c>
      <c r="F134" s="89">
        <v>42.9437</v>
      </c>
      <c r="G134" s="89">
        <v>42.387799999999999</v>
      </c>
      <c r="H134" s="89">
        <f t="shared" si="21"/>
        <v>18.965899999999998</v>
      </c>
      <c r="I134" s="89">
        <f t="shared" si="22"/>
        <v>0.72990000000000066</v>
      </c>
      <c r="J134" s="101">
        <f t="shared" si="23"/>
        <v>3.8484859669195806</v>
      </c>
      <c r="K134" s="89">
        <f t="shared" si="32"/>
        <v>0.55590000000000117</v>
      </c>
      <c r="L134" s="101">
        <f t="shared" si="30"/>
        <v>76.161117961364667</v>
      </c>
      <c r="M134" s="114"/>
      <c r="N134" s="114"/>
      <c r="O134" s="89">
        <f t="shared" si="20"/>
        <v>38484.859669195808</v>
      </c>
      <c r="P134" s="89">
        <f t="shared" si="31"/>
        <v>29310.499369921872</v>
      </c>
      <c r="Q134" s="114">
        <f t="shared" si="24"/>
        <v>37288.002788227015</v>
      </c>
      <c r="R134" s="114"/>
      <c r="S134" s="114"/>
      <c r="T134" s="115">
        <f t="shared" si="25"/>
        <v>0.10376450654870922</v>
      </c>
      <c r="U134" s="115">
        <f t="shared" si="26"/>
        <v>2.0709290713765589</v>
      </c>
      <c r="V134" s="115">
        <f t="shared" si="27"/>
        <v>1.5386058128788249</v>
      </c>
    </row>
    <row r="135" spans="1:22" x14ac:dyDescent="0.25">
      <c r="A135" s="94">
        <v>44419</v>
      </c>
      <c r="B135" s="89">
        <v>102</v>
      </c>
      <c r="C135" s="89" t="s">
        <v>121</v>
      </c>
      <c r="D135" s="89">
        <v>41.491500000000002</v>
      </c>
      <c r="E135" s="89">
        <v>63.596600000000002</v>
      </c>
      <c r="F135" s="89">
        <v>42.303600000000003</v>
      </c>
      <c r="G135" s="89">
        <v>41.708300000000001</v>
      </c>
      <c r="H135" s="89">
        <f t="shared" si="21"/>
        <v>22.1051</v>
      </c>
      <c r="I135" s="89">
        <f t="shared" si="22"/>
        <v>0.81210000000000093</v>
      </c>
      <c r="J135" s="101">
        <f t="shared" si="23"/>
        <v>3.6738128305232771</v>
      </c>
      <c r="K135" s="89">
        <f t="shared" si="32"/>
        <v>0.59530000000000172</v>
      </c>
      <c r="L135" s="101">
        <f t="shared" si="30"/>
        <v>73.303780322620497</v>
      </c>
      <c r="M135" s="114">
        <f t="shared" ref="M135:M195" si="34">AVERAGE(J135:J137)</f>
        <v>3.7144935774190837</v>
      </c>
      <c r="N135" s="114">
        <f t="shared" si="29"/>
        <v>73.150489781317873</v>
      </c>
      <c r="O135" s="89">
        <f t="shared" si="20"/>
        <v>36738.128305232771</v>
      </c>
      <c r="P135" s="89">
        <f t="shared" si="31"/>
        <v>26930.436867510292</v>
      </c>
      <c r="Q135" s="114">
        <f t="shared" si="24"/>
        <v>37144.935774190839</v>
      </c>
      <c r="R135" s="114">
        <f>AVERAGE(P135:P137)</f>
        <v>27175.814298152836</v>
      </c>
      <c r="S135" s="114">
        <f t="shared" si="33"/>
        <v>27.175814298152837</v>
      </c>
      <c r="T135" s="115">
        <f t="shared" si="25"/>
        <v>7.902022354301598E-2</v>
      </c>
      <c r="U135" s="115">
        <f t="shared" si="26"/>
        <v>0.9474624327603629</v>
      </c>
      <c r="V135" s="115">
        <f t="shared" si="27"/>
        <v>0.8928918515784745</v>
      </c>
    </row>
    <row r="136" spans="1:22" x14ac:dyDescent="0.25">
      <c r="C136" s="89" t="s">
        <v>40</v>
      </c>
      <c r="D136" s="89">
        <v>23.891999999999999</v>
      </c>
      <c r="E136" s="89">
        <v>44.401800000000001</v>
      </c>
      <c r="F136" s="89">
        <v>24.6435</v>
      </c>
      <c r="G136" s="89">
        <v>24.101400000000002</v>
      </c>
      <c r="H136" s="89">
        <f t="shared" si="21"/>
        <v>20.509800000000002</v>
      </c>
      <c r="I136" s="89">
        <f t="shared" si="22"/>
        <v>0.75150000000000006</v>
      </c>
      <c r="J136" s="101">
        <f t="shared" si="23"/>
        <v>3.6641020390252468</v>
      </c>
      <c r="K136" s="89">
        <f t="shared" si="32"/>
        <v>0.54209999999999781</v>
      </c>
      <c r="L136" s="101">
        <f t="shared" si="30"/>
        <v>72.135728542913881</v>
      </c>
      <c r="M136" s="114"/>
      <c r="N136" s="114"/>
      <c r="O136" s="89">
        <f t="shared" si="20"/>
        <v>36641.020390252466</v>
      </c>
      <c r="P136" s="89">
        <f t="shared" si="31"/>
        <v>26431.267004066238</v>
      </c>
      <c r="Q136" s="114">
        <f t="shared" si="24"/>
        <v>36880.090539177771</v>
      </c>
      <c r="R136" s="114"/>
      <c r="S136" s="114"/>
      <c r="T136" s="115">
        <f t="shared" si="25"/>
        <v>0.10761373646379922</v>
      </c>
      <c r="U136" s="115">
        <f t="shared" si="26"/>
        <v>1.6074685793387176</v>
      </c>
      <c r="V136" s="115">
        <f t="shared" si="27"/>
        <v>1.3739513719257901</v>
      </c>
    </row>
    <row r="137" spans="1:22" x14ac:dyDescent="0.25">
      <c r="C137" s="89" t="s">
        <v>135</v>
      </c>
      <c r="D137" s="89">
        <v>24.593299999999999</v>
      </c>
      <c r="E137" s="89">
        <v>44.805799999999998</v>
      </c>
      <c r="F137" s="89">
        <v>25.362500000000001</v>
      </c>
      <c r="G137" s="89">
        <v>24.793199999999999</v>
      </c>
      <c r="H137" s="89">
        <f>(E137-D137)</f>
        <v>20.212499999999999</v>
      </c>
      <c r="I137" s="89">
        <f t="shared" si="22"/>
        <v>0.76920000000000144</v>
      </c>
      <c r="J137" s="101">
        <f t="shared" si="23"/>
        <v>3.8055658627087272</v>
      </c>
      <c r="K137" s="89">
        <f t="shared" si="32"/>
        <v>0.56930000000000192</v>
      </c>
      <c r="L137" s="101">
        <f t="shared" si="30"/>
        <v>74.01196047841924</v>
      </c>
      <c r="M137" s="114"/>
      <c r="N137" s="114"/>
      <c r="O137" s="89">
        <f t="shared" si="20"/>
        <v>38055.658627087272</v>
      </c>
      <c r="P137" s="89">
        <f t="shared" si="31"/>
        <v>28165.739022881975</v>
      </c>
      <c r="Q137" s="114">
        <f t="shared" si="24"/>
        <v>36752.423884421754</v>
      </c>
      <c r="R137" s="114"/>
      <c r="S137" s="114"/>
      <c r="T137" s="115">
        <f t="shared" si="25"/>
        <v>0.11395313994251025</v>
      </c>
      <c r="U137" s="115">
        <f t="shared" si="26"/>
        <v>1.6094956465287793</v>
      </c>
      <c r="V137" s="115">
        <f t="shared" si="27"/>
        <v>1.3802512969748544</v>
      </c>
    </row>
    <row r="138" spans="1:22" x14ac:dyDescent="0.25">
      <c r="A138" s="94">
        <v>44421</v>
      </c>
      <c r="B138" s="89">
        <v>104</v>
      </c>
      <c r="C138" s="89">
        <v>9</v>
      </c>
      <c r="D138" s="89">
        <v>19.9864</v>
      </c>
      <c r="E138" s="89">
        <v>40.451799999999999</v>
      </c>
      <c r="F138" s="89">
        <v>20.722000000000001</v>
      </c>
      <c r="G138" s="89">
        <v>20.2011</v>
      </c>
      <c r="H138" s="89">
        <f t="shared" ref="H138:H209" si="35">(E138-D138)</f>
        <v>20.465399999999999</v>
      </c>
      <c r="I138" s="89">
        <f t="shared" si="22"/>
        <v>0.73560000000000159</v>
      </c>
      <c r="J138" s="101">
        <f t="shared" si="23"/>
        <v>3.5943592600193579</v>
      </c>
      <c r="K138" s="89">
        <f t="shared" si="32"/>
        <v>0.52090000000000103</v>
      </c>
      <c r="L138" s="101">
        <f t="shared" si="30"/>
        <v>70.812941816204443</v>
      </c>
      <c r="M138" s="114">
        <f t="shared" si="34"/>
        <v>3.5714924389870943</v>
      </c>
      <c r="N138" s="114">
        <f t="shared" si="29"/>
        <v>71.631434707250619</v>
      </c>
      <c r="O138" s="89">
        <f t="shared" si="20"/>
        <v>35943.59260019358</v>
      </c>
      <c r="P138" s="89">
        <f t="shared" si="31"/>
        <v>25452.715314628644</v>
      </c>
      <c r="Q138" s="114">
        <f t="shared" si="24"/>
        <v>35714.924389870946</v>
      </c>
      <c r="R138" s="114">
        <f t="shared" si="24"/>
        <v>25585.165307659296</v>
      </c>
      <c r="S138" s="114">
        <f t="shared" si="33"/>
        <v>25.585165307659295</v>
      </c>
      <c r="T138" s="115">
        <f t="shared" si="25"/>
        <v>6.866085154334263E-2</v>
      </c>
      <c r="U138" s="115">
        <f t="shared" si="26"/>
        <v>0.98353584011178685</v>
      </c>
      <c r="V138" s="115">
        <f t="shared" si="27"/>
        <v>0.72547871554554</v>
      </c>
    </row>
    <row r="139" spans="1:22" x14ac:dyDescent="0.25">
      <c r="C139" s="89" t="s">
        <v>91</v>
      </c>
      <c r="D139" s="89">
        <v>42.211599999999997</v>
      </c>
      <c r="E139" s="89">
        <v>63.282800000000002</v>
      </c>
      <c r="F139" s="89">
        <v>42.9756</v>
      </c>
      <c r="G139" s="89">
        <v>42.42</v>
      </c>
      <c r="H139" s="89">
        <f t="shared" si="35"/>
        <v>21.071200000000005</v>
      </c>
      <c r="I139" s="89">
        <f t="shared" si="22"/>
        <v>0.7640000000000029</v>
      </c>
      <c r="J139" s="101">
        <f t="shared" si="23"/>
        <v>3.625802042598441</v>
      </c>
      <c r="K139" s="89">
        <f t="shared" si="32"/>
        <v>0.55559999999999832</v>
      </c>
      <c r="L139" s="101">
        <f t="shared" si="30"/>
        <v>72.722513089004735</v>
      </c>
      <c r="M139" s="114"/>
      <c r="N139" s="114"/>
      <c r="O139" s="89">
        <f t="shared" si="20"/>
        <v>36258.02042598441</v>
      </c>
      <c r="P139" s="89">
        <f t="shared" si="31"/>
        <v>26367.743650100525</v>
      </c>
      <c r="Q139" s="114">
        <f t="shared" si="24"/>
        <v>36546.749814788411</v>
      </c>
      <c r="R139" s="114"/>
      <c r="S139" s="114"/>
      <c r="T139" s="115">
        <f t="shared" si="25"/>
        <v>0.17657485550704252</v>
      </c>
      <c r="U139" s="115">
        <f t="shared" si="26"/>
        <v>1.2255366726067694</v>
      </c>
      <c r="V139" s="115">
        <f t="shared" si="27"/>
        <v>1.7252131355701668</v>
      </c>
    </row>
    <row r="140" spans="1:22" x14ac:dyDescent="0.25">
      <c r="C140" s="89" t="s">
        <v>31</v>
      </c>
      <c r="D140" s="89">
        <v>25.5305</v>
      </c>
      <c r="E140" s="89">
        <v>47.812399999999997</v>
      </c>
      <c r="F140" s="89">
        <v>26.309100000000001</v>
      </c>
      <c r="G140" s="89">
        <v>25.753499999999999</v>
      </c>
      <c r="H140" s="89">
        <f t="shared" si="35"/>
        <v>22.281899999999997</v>
      </c>
      <c r="I140" s="89">
        <f t="shared" si="22"/>
        <v>0.77860000000000085</v>
      </c>
      <c r="J140" s="101">
        <f>(I140/H140)*100</f>
        <v>3.494316014343485</v>
      </c>
      <c r="K140" s="89">
        <f t="shared" si="32"/>
        <v>0.55560000000000187</v>
      </c>
      <c r="L140" s="101">
        <f t="shared" si="30"/>
        <v>71.35884921654268</v>
      </c>
      <c r="M140" s="114"/>
      <c r="N140" s="114"/>
      <c r="O140" s="89">
        <f t="shared" si="20"/>
        <v>34943.160143434849</v>
      </c>
      <c r="P140" s="89">
        <f t="shared" si="31"/>
        <v>24935.036958248711</v>
      </c>
      <c r="Q140" s="114">
        <f t="shared" si="24"/>
        <v>36806.422018472644</v>
      </c>
      <c r="R140" s="114"/>
      <c r="S140" s="114"/>
      <c r="T140" s="115">
        <f t="shared" si="25"/>
        <v>0.17593271241740568</v>
      </c>
      <c r="U140" s="115">
        <f t="shared" si="26"/>
        <v>1.2494380420154674</v>
      </c>
      <c r="V140" s="115">
        <f t="shared" si="27"/>
        <v>1.7177794993264452</v>
      </c>
    </row>
    <row r="141" spans="1:22" x14ac:dyDescent="0.25">
      <c r="A141" s="94">
        <v>44424</v>
      </c>
      <c r="B141" s="89">
        <v>107</v>
      </c>
      <c r="C141" s="89">
        <v>84</v>
      </c>
      <c r="D141" s="89">
        <v>26.261700000000001</v>
      </c>
      <c r="E141" s="89">
        <v>47.315800000000003</v>
      </c>
      <c r="F141" s="89">
        <v>27.071000000000002</v>
      </c>
      <c r="G141" s="89">
        <v>26.473700000000001</v>
      </c>
      <c r="H141" s="89">
        <f t="shared" si="35"/>
        <v>21.054100000000002</v>
      </c>
      <c r="I141" s="89">
        <f t="shared" si="22"/>
        <v>0.80930000000000035</v>
      </c>
      <c r="J141" s="101">
        <f t="shared" ref="J141:J209" si="36">(I141/H141)*100</f>
        <v>3.8439068874945983</v>
      </c>
      <c r="K141" s="89">
        <f t="shared" si="32"/>
        <v>0.59730000000000061</v>
      </c>
      <c r="L141" s="101">
        <f t="shared" si="30"/>
        <v>73.804522426788623</v>
      </c>
      <c r="M141" s="114">
        <f t="shared" si="34"/>
        <v>3.6901419862981402</v>
      </c>
      <c r="N141" s="114">
        <f>AVERAGE(L141:L143)</f>
        <v>72.73468408989163</v>
      </c>
      <c r="O141" s="89">
        <f t="shared" si="20"/>
        <v>38439.06887494598</v>
      </c>
      <c r="P141" s="89">
        <f t="shared" si="31"/>
        <v>28369.771208458234</v>
      </c>
      <c r="Q141" s="114">
        <f t="shared" si="24"/>
        <v>36901.419862981398</v>
      </c>
      <c r="R141" s="114">
        <f t="shared" si="24"/>
        <v>26847.980927545301</v>
      </c>
      <c r="S141" s="114">
        <f t="shared" si="33"/>
        <v>26.847980927545301</v>
      </c>
      <c r="T141" s="115">
        <f t="shared" si="25"/>
        <v>0.16097478422370026</v>
      </c>
      <c r="U141" s="115">
        <f t="shared" si="26"/>
        <v>0.92859682771456109</v>
      </c>
      <c r="V141" s="115">
        <f t="shared" si="27"/>
        <v>1.4609670033996265</v>
      </c>
    </row>
    <row r="142" spans="1:22" x14ac:dyDescent="0.25">
      <c r="C142" s="89" t="s">
        <v>156</v>
      </c>
      <c r="D142" s="89">
        <v>24.613199999999999</v>
      </c>
      <c r="E142" s="89">
        <v>45.505800000000001</v>
      </c>
      <c r="F142" s="89">
        <v>25.387</v>
      </c>
      <c r="G142" s="89">
        <v>24.828800000000001</v>
      </c>
      <c r="H142" s="89">
        <f t="shared" si="35"/>
        <v>20.892600000000002</v>
      </c>
      <c r="I142" s="89">
        <f t="shared" si="22"/>
        <v>0.77380000000000138</v>
      </c>
      <c r="J142" s="101">
        <f t="shared" si="36"/>
        <v>3.7037037037037099</v>
      </c>
      <c r="K142" s="89">
        <f t="shared" si="32"/>
        <v>0.55819999999999936</v>
      </c>
      <c r="L142" s="101">
        <f t="shared" si="30"/>
        <v>72.13750323080879</v>
      </c>
      <c r="M142" s="114"/>
      <c r="N142" s="114"/>
      <c r="O142" s="89">
        <f t="shared" si="20"/>
        <v>37037.037037037095</v>
      </c>
      <c r="P142" s="89">
        <f t="shared" si="31"/>
        <v>26717.593789188482</v>
      </c>
      <c r="Q142" s="114">
        <f t="shared" si="24"/>
        <v>35430.790282070178</v>
      </c>
      <c r="R142" s="114"/>
      <c r="S142" s="114"/>
      <c r="T142" s="115">
        <f t="shared" si="25"/>
        <v>0.15151256852743059</v>
      </c>
      <c r="U142" s="115">
        <f t="shared" si="26"/>
        <v>2.2273508966234505</v>
      </c>
      <c r="V142" s="115">
        <f t="shared" si="27"/>
        <v>0.64176963135594745</v>
      </c>
    </row>
    <row r="143" spans="1:22" x14ac:dyDescent="0.25">
      <c r="C143" s="89">
        <v>6</v>
      </c>
      <c r="D143" s="89">
        <v>21.148399999999999</v>
      </c>
      <c r="E143" s="89">
        <v>43.3352</v>
      </c>
      <c r="F143" s="89">
        <v>21.93</v>
      </c>
      <c r="G143" s="89">
        <v>21.365200000000002</v>
      </c>
      <c r="H143" s="89">
        <f t="shared" si="35"/>
        <v>22.186800000000002</v>
      </c>
      <c r="I143" s="89">
        <f t="shared" si="22"/>
        <v>0.78160000000000096</v>
      </c>
      <c r="J143" s="101">
        <f t="shared" si="36"/>
        <v>3.5228153676961118</v>
      </c>
      <c r="K143" s="89">
        <f t="shared" si="32"/>
        <v>0.56479999999999819</v>
      </c>
      <c r="L143" s="101">
        <f t="shared" si="30"/>
        <v>72.262026612077463</v>
      </c>
      <c r="M143" s="114"/>
      <c r="N143" s="114"/>
      <c r="O143" s="89">
        <f t="shared" si="20"/>
        <v>35228.153676961119</v>
      </c>
      <c r="P143" s="89">
        <f t="shared" si="31"/>
        <v>25456.577784989189</v>
      </c>
      <c r="Q143" s="114">
        <f t="shared" si="24"/>
        <v>34079.225371230415</v>
      </c>
      <c r="R143" s="114"/>
      <c r="S143" s="114"/>
      <c r="T143" s="115">
        <f t="shared" si="25"/>
        <v>0.11238099084486065</v>
      </c>
      <c r="U143" s="115">
        <f t="shared" si="26"/>
        <v>2.071474155307433</v>
      </c>
      <c r="V143" s="115">
        <f t="shared" si="27"/>
        <v>0.99504235872699409</v>
      </c>
    </row>
    <row r="144" spans="1:22" x14ac:dyDescent="0.25">
      <c r="A144" s="94">
        <v>44426</v>
      </c>
      <c r="B144" s="89">
        <v>109</v>
      </c>
      <c r="C144" s="89" t="s">
        <v>80</v>
      </c>
      <c r="D144" s="89">
        <v>25.543500000000002</v>
      </c>
      <c r="E144" s="89">
        <v>46.691299999999998</v>
      </c>
      <c r="F144" s="89">
        <v>26.263100000000001</v>
      </c>
      <c r="G144" s="89">
        <v>25.715800000000002</v>
      </c>
      <c r="H144" s="89">
        <f t="shared" si="35"/>
        <v>21.147799999999997</v>
      </c>
      <c r="I144" s="89">
        <f t="shared" si="22"/>
        <v>0.7195999999999998</v>
      </c>
      <c r="J144" s="101">
        <f t="shared" si="36"/>
        <v>3.4027180132212327</v>
      </c>
      <c r="K144" s="89">
        <f t="shared" si="32"/>
        <v>0.5472999999999999</v>
      </c>
      <c r="L144" s="101">
        <f t="shared" si="30"/>
        <v>76.056142301278499</v>
      </c>
      <c r="M144" s="114">
        <f t="shared" si="34"/>
        <v>3.3461370092167511</v>
      </c>
      <c r="N144" s="114">
        <f t="shared" ref="N144:N207" si="37">AVERAGE(L144:L146)</f>
        <v>74.66865982094177</v>
      </c>
      <c r="O144" s="89">
        <f t="shared" si="20"/>
        <v>34027.180132212328</v>
      </c>
      <c r="P144" s="89">
        <f t="shared" si="31"/>
        <v>25879.760542467775</v>
      </c>
      <c r="Q144" s="114">
        <f t="shared" si="24"/>
        <v>33461.370092167512</v>
      </c>
      <c r="R144" s="114">
        <f t="shared" si="24"/>
        <v>24990.725177337441</v>
      </c>
      <c r="S144" s="114">
        <f t="shared" si="33"/>
        <v>24.990725177337442</v>
      </c>
      <c r="T144" s="115">
        <f t="shared" si="25"/>
        <v>5.2779720636190124E-2</v>
      </c>
      <c r="U144" s="115">
        <f t="shared" si="26"/>
        <v>1.7388230480252405</v>
      </c>
      <c r="V144" s="115">
        <f t="shared" si="27"/>
        <v>0.95327231932360446</v>
      </c>
    </row>
    <row r="145" spans="1:22" x14ac:dyDescent="0.25">
      <c r="C145" s="89" t="s">
        <v>135</v>
      </c>
      <c r="D145" s="89">
        <v>24.5976</v>
      </c>
      <c r="E145" s="89">
        <v>45.557299999999998</v>
      </c>
      <c r="F145" s="89">
        <v>25.288900000000002</v>
      </c>
      <c r="G145" s="89">
        <v>24.786200000000001</v>
      </c>
      <c r="H145" s="89">
        <f t="shared" si="35"/>
        <v>20.959699999999998</v>
      </c>
      <c r="I145" s="89">
        <f t="shared" si="22"/>
        <v>0.6913000000000018</v>
      </c>
      <c r="J145" s="101">
        <f t="shared" si="36"/>
        <v>3.2982342304517807</v>
      </c>
      <c r="K145" s="89">
        <f t="shared" si="32"/>
        <v>0.50270000000000081</v>
      </c>
      <c r="L145" s="101">
        <f t="shared" si="30"/>
        <v>72.718067409228908</v>
      </c>
      <c r="M145" s="114"/>
      <c r="N145" s="114"/>
      <c r="O145" s="89">
        <f t="shared" si="20"/>
        <v>32982.342304517806</v>
      </c>
      <c r="P145" s="89">
        <f t="shared" si="31"/>
        <v>23984.121910141886</v>
      </c>
      <c r="Q145" s="114">
        <f t="shared" si="24"/>
        <v>34848.861313005815</v>
      </c>
      <c r="R145" s="114"/>
      <c r="S145" s="114"/>
      <c r="T145" s="115">
        <f t="shared" si="25"/>
        <v>0.28998508486517993</v>
      </c>
      <c r="U145" s="115">
        <f t="shared" si="26"/>
        <v>1.6395889107520691</v>
      </c>
      <c r="V145" s="115">
        <f t="shared" si="27"/>
        <v>2.6023502698560459</v>
      </c>
    </row>
    <row r="146" spans="1:22" x14ac:dyDescent="0.25">
      <c r="C146" s="89" t="s">
        <v>31</v>
      </c>
      <c r="D146" s="89">
        <v>25.5593</v>
      </c>
      <c r="E146" s="89">
        <v>47.213500000000003</v>
      </c>
      <c r="F146" s="89">
        <v>26.282</v>
      </c>
      <c r="G146" s="89">
        <v>25.738299999999999</v>
      </c>
      <c r="H146" s="89">
        <f t="shared" si="35"/>
        <v>21.654200000000003</v>
      </c>
      <c r="I146" s="89">
        <f t="shared" si="22"/>
        <v>0.72269999999999968</v>
      </c>
      <c r="J146" s="101">
        <f t="shared" si="36"/>
        <v>3.3374587839772403</v>
      </c>
      <c r="K146" s="89">
        <f t="shared" si="32"/>
        <v>0.54370000000000118</v>
      </c>
      <c r="L146" s="101">
        <f t="shared" si="30"/>
        <v>75.231769752317888</v>
      </c>
      <c r="M146" s="114"/>
      <c r="N146" s="114"/>
      <c r="O146" s="89">
        <f t="shared" si="20"/>
        <v>33374.587839772401</v>
      </c>
      <c r="P146" s="89">
        <f t="shared" si="31"/>
        <v>25108.293079402662</v>
      </c>
      <c r="Q146" s="114">
        <f t="shared" si="24"/>
        <v>36500.090937962181</v>
      </c>
      <c r="R146" s="114"/>
      <c r="S146" s="114"/>
      <c r="T146" s="115">
        <f t="shared" si="25"/>
        <v>0.27097339943892024</v>
      </c>
      <c r="U146" s="115">
        <f t="shared" si="26"/>
        <v>1.028796574088642</v>
      </c>
      <c r="V146" s="115">
        <f t="shared" si="27"/>
        <v>2.3240638061020373</v>
      </c>
    </row>
    <row r="147" spans="1:22" x14ac:dyDescent="0.25">
      <c r="A147" s="94">
        <v>44428</v>
      </c>
      <c r="B147" s="89">
        <v>111</v>
      </c>
      <c r="C147" s="89" t="s">
        <v>157</v>
      </c>
      <c r="D147" s="89">
        <v>24.621500000000001</v>
      </c>
      <c r="E147" s="89">
        <v>43.393599999999999</v>
      </c>
      <c r="F147" s="89">
        <v>25.3384</v>
      </c>
      <c r="G147" s="89">
        <v>24.795000000000002</v>
      </c>
      <c r="H147" s="89">
        <f>(E147-D147)</f>
        <v>18.772099999999998</v>
      </c>
      <c r="I147" s="89">
        <f t="shared" si="22"/>
        <v>0.71689999999999898</v>
      </c>
      <c r="J147" s="101">
        <f t="shared" si="36"/>
        <v>3.8189653794727234</v>
      </c>
      <c r="K147" s="89">
        <f t="shared" si="32"/>
        <v>0.54339999999999833</v>
      </c>
      <c r="L147" s="101">
        <f t="shared" si="30"/>
        <v>75.79857720742072</v>
      </c>
      <c r="M147" s="114">
        <f t="shared" si="34"/>
        <v>3.6704946237850629</v>
      </c>
      <c r="N147" s="114">
        <f t="shared" si="37"/>
        <v>80.479441030034991</v>
      </c>
      <c r="O147" s="89">
        <f t="shared" si="20"/>
        <v>38189.65379472723</v>
      </c>
      <c r="P147" s="89">
        <f t="shared" si="31"/>
        <v>28947.214216842993</v>
      </c>
      <c r="Q147" s="114">
        <f t="shared" si="24"/>
        <v>36704.946237850629</v>
      </c>
      <c r="R147" s="114">
        <f t="shared" si="24"/>
        <v>29431.620941012556</v>
      </c>
      <c r="S147" s="114">
        <f t="shared" si="33"/>
        <v>29.431620941012557</v>
      </c>
      <c r="T147" s="115">
        <f t="shared" si="25"/>
        <v>0.23553614963694702</v>
      </c>
      <c r="U147" s="115">
        <f t="shared" si="26"/>
        <v>6.906529265454723</v>
      </c>
      <c r="V147" s="115">
        <f t="shared" si="27"/>
        <v>0.56370164087641284</v>
      </c>
    </row>
    <row r="148" spans="1:22" x14ac:dyDescent="0.25">
      <c r="C148" s="89" t="s">
        <v>33</v>
      </c>
      <c r="D148" s="89">
        <v>24.449100000000001</v>
      </c>
      <c r="E148" s="89">
        <v>42.460999999999999</v>
      </c>
      <c r="F148" s="89">
        <v>25.132400000000001</v>
      </c>
      <c r="G148" s="89">
        <v>24.604700000000001</v>
      </c>
      <c r="H148" s="89">
        <f t="shared" si="35"/>
        <v>18.011899999999997</v>
      </c>
      <c r="I148" s="89">
        <f t="shared" si="22"/>
        <v>0.68329999999999913</v>
      </c>
      <c r="J148" s="101">
        <f t="shared" si="36"/>
        <v>3.7936031179386918</v>
      </c>
      <c r="K148" s="89">
        <f t="shared" si="32"/>
        <v>0.52769999999999939</v>
      </c>
      <c r="L148" s="101">
        <f t="shared" si="30"/>
        <v>77.228157471096154</v>
      </c>
      <c r="M148" s="114"/>
      <c r="N148" s="114"/>
      <c r="O148" s="89">
        <f t="shared" si="20"/>
        <v>37936.031179386919</v>
      </c>
      <c r="P148" s="89">
        <f t="shared" si="31"/>
        <v>29297.297897501066</v>
      </c>
      <c r="Q148" s="114">
        <f t="shared" si="24"/>
        <v>36647.324984375649</v>
      </c>
      <c r="R148" s="114"/>
      <c r="S148" s="114"/>
      <c r="T148" s="115">
        <f t="shared" si="25"/>
        <v>0.23023979399145778</v>
      </c>
      <c r="U148" s="115">
        <f t="shared" si="26"/>
        <v>6.8845260551384397</v>
      </c>
      <c r="V148" s="115">
        <f t="shared" si="27"/>
        <v>0.61073797934041896</v>
      </c>
    </row>
    <row r="149" spans="1:22" x14ac:dyDescent="0.25">
      <c r="C149" s="89" t="s">
        <v>85</v>
      </c>
      <c r="D149" s="89">
        <v>38.930799999999998</v>
      </c>
      <c r="E149" s="89">
        <v>59.546199999999999</v>
      </c>
      <c r="F149" s="89">
        <v>39.631500000000003</v>
      </c>
      <c r="G149" s="89">
        <v>39.012</v>
      </c>
      <c r="H149" s="89">
        <f t="shared" si="35"/>
        <v>20.615400000000001</v>
      </c>
      <c r="I149" s="89">
        <f t="shared" si="22"/>
        <v>0.70070000000000476</v>
      </c>
      <c r="J149" s="101">
        <f t="shared" si="36"/>
        <v>3.3989153739437734</v>
      </c>
      <c r="K149" s="89">
        <f t="shared" si="32"/>
        <v>0.61950000000000216</v>
      </c>
      <c r="L149" s="101">
        <f t="shared" si="30"/>
        <v>88.411588411588113</v>
      </c>
      <c r="M149" s="114"/>
      <c r="N149" s="114"/>
      <c r="O149" s="89">
        <f t="shared" si="20"/>
        <v>33989.153739437737</v>
      </c>
      <c r="P149" s="89">
        <f t="shared" si="31"/>
        <v>30050.350708693604</v>
      </c>
      <c r="Q149" s="114">
        <f t="shared" si="24"/>
        <v>37406.969401984512</v>
      </c>
      <c r="R149" s="114"/>
      <c r="S149" s="114"/>
      <c r="T149" s="115">
        <f t="shared" si="25"/>
        <v>0.31573866722767135</v>
      </c>
      <c r="U149" s="115">
        <f t="shared" si="26"/>
        <v>7.1058766876960027</v>
      </c>
      <c r="V149" s="115">
        <f t="shared" si="27"/>
        <v>0.94689356694502069</v>
      </c>
    </row>
    <row r="150" spans="1:22" x14ac:dyDescent="0.25">
      <c r="A150" s="94">
        <v>44431</v>
      </c>
      <c r="B150" s="89">
        <v>115</v>
      </c>
      <c r="C150" s="89">
        <v>6</v>
      </c>
      <c r="D150" s="89">
        <v>21.148599999999998</v>
      </c>
      <c r="E150" s="89">
        <v>43.304600000000001</v>
      </c>
      <c r="F150" s="89">
        <v>21.9909</v>
      </c>
      <c r="G150" s="89">
        <v>21.351900000000001</v>
      </c>
      <c r="H150" s="89">
        <f t="shared" si="35"/>
        <v>22.156000000000002</v>
      </c>
      <c r="I150" s="89">
        <f t="shared" si="22"/>
        <v>0.8423000000000016</v>
      </c>
      <c r="J150" s="101">
        <f t="shared" si="36"/>
        <v>3.801679003430229</v>
      </c>
      <c r="K150" s="89">
        <f t="shared" si="32"/>
        <v>0.63899999999999935</v>
      </c>
      <c r="L150" s="101">
        <f t="shared" si="30"/>
        <v>75.863706517867527</v>
      </c>
      <c r="M150" s="114">
        <f t="shared" si="34"/>
        <v>3.8654495452086479</v>
      </c>
      <c r="N150" s="114">
        <f t="shared" si="37"/>
        <v>76.113098659986406</v>
      </c>
      <c r="O150" s="89">
        <f t="shared" si="20"/>
        <v>38016.790034302292</v>
      </c>
      <c r="P150" s="89">
        <f t="shared" si="31"/>
        <v>28840.946019136998</v>
      </c>
      <c r="Q150" s="114">
        <f t="shared" si="24"/>
        <v>38654.495452086478</v>
      </c>
      <c r="R150" s="114">
        <f t="shared" si="24"/>
        <v>29422.93223684841</v>
      </c>
      <c r="S150" s="114">
        <f t="shared" si="33"/>
        <v>29.422932236848411</v>
      </c>
      <c r="T150" s="115">
        <f t="shared" si="25"/>
        <v>0.13589010688415859</v>
      </c>
      <c r="U150" s="115">
        <f t="shared" si="26"/>
        <v>0.24763644734625373</v>
      </c>
      <c r="V150" s="115">
        <f t="shared" si="27"/>
        <v>1.1142983894995306</v>
      </c>
    </row>
    <row r="151" spans="1:22" x14ac:dyDescent="0.25">
      <c r="C151" s="89" t="s">
        <v>129</v>
      </c>
      <c r="D151" s="89">
        <v>25.644200000000001</v>
      </c>
      <c r="E151" s="89">
        <v>44.903199999999998</v>
      </c>
      <c r="F151" s="89">
        <v>26.418700000000001</v>
      </c>
      <c r="G151" s="89">
        <v>25.827300000000001</v>
      </c>
      <c r="H151" s="89">
        <f t="shared" si="35"/>
        <v>19.258999999999997</v>
      </c>
      <c r="I151" s="89">
        <f t="shared" si="22"/>
        <v>0.77449999999999974</v>
      </c>
      <c r="J151" s="101">
        <f t="shared" si="36"/>
        <v>4.0214964432213502</v>
      </c>
      <c r="K151" s="89">
        <f t="shared" si="32"/>
        <v>0.59140000000000015</v>
      </c>
      <c r="L151" s="101">
        <f t="shared" si="30"/>
        <v>76.358941252420962</v>
      </c>
      <c r="M151" s="114"/>
      <c r="N151" s="114"/>
      <c r="O151" s="89">
        <f t="shared" si="20"/>
        <v>40214.964432213506</v>
      </c>
      <c r="P151" s="89">
        <f t="shared" si="31"/>
        <v>30707.721065475896</v>
      </c>
      <c r="Q151" s="114">
        <f t="shared" si="24"/>
        <v>38710.701551904094</v>
      </c>
      <c r="R151" s="114"/>
      <c r="S151" s="114"/>
      <c r="T151" s="115">
        <f t="shared" si="25"/>
        <v>0.13223315351190473</v>
      </c>
      <c r="U151" s="115">
        <f t="shared" si="26"/>
        <v>0.36621362692456177</v>
      </c>
      <c r="V151" s="115">
        <f t="shared" si="27"/>
        <v>1.0169391548968747</v>
      </c>
    </row>
    <row r="152" spans="1:22" x14ac:dyDescent="0.25">
      <c r="C152" s="89">
        <v>85</v>
      </c>
      <c r="D152" s="89">
        <v>52.216099999999997</v>
      </c>
      <c r="E152" s="89">
        <v>73.754999999999995</v>
      </c>
      <c r="F152" s="89">
        <v>53.028799999999997</v>
      </c>
      <c r="G152" s="89">
        <v>52.410200000000003</v>
      </c>
      <c r="H152" s="89">
        <f t="shared" si="35"/>
        <v>21.538899999999998</v>
      </c>
      <c r="I152" s="89">
        <f t="shared" si="22"/>
        <v>0.81269999999999953</v>
      </c>
      <c r="J152" s="101">
        <f t="shared" si="36"/>
        <v>3.7731731889743649</v>
      </c>
      <c r="K152" s="89">
        <f t="shared" si="32"/>
        <v>0.6185999999999936</v>
      </c>
      <c r="L152" s="101">
        <f t="shared" si="30"/>
        <v>76.116648209670728</v>
      </c>
      <c r="M152" s="114"/>
      <c r="N152" s="114"/>
      <c r="O152" s="89">
        <f t="shared" si="20"/>
        <v>37731.731889743649</v>
      </c>
      <c r="P152" s="89">
        <f t="shared" si="31"/>
        <v>28720.129625932321</v>
      </c>
      <c r="Q152" s="114">
        <f t="shared" si="24"/>
        <v>38162.741932452445</v>
      </c>
      <c r="R152" s="114"/>
      <c r="S152" s="114"/>
      <c r="T152" s="115">
        <f t="shared" si="25"/>
        <v>4.201356638876666E-2</v>
      </c>
      <c r="U152" s="115">
        <f t="shared" si="26"/>
        <v>0.39846812049478297</v>
      </c>
      <c r="V152" s="115">
        <f t="shared" si="27"/>
        <v>0.45719126961756429</v>
      </c>
    </row>
    <row r="153" spans="1:22" x14ac:dyDescent="0.25">
      <c r="A153" s="94">
        <v>44433</v>
      </c>
      <c r="B153" s="89">
        <v>117</v>
      </c>
      <c r="C153" s="89">
        <v>3</v>
      </c>
      <c r="D153" s="89">
        <v>44.514000000000003</v>
      </c>
      <c r="E153" s="89">
        <v>64.265000000000001</v>
      </c>
      <c r="F153" s="89">
        <v>45.2682</v>
      </c>
      <c r="G153" s="89">
        <v>44.688699999999997</v>
      </c>
      <c r="H153" s="89">
        <f t="shared" si="35"/>
        <v>19.750999999999998</v>
      </c>
      <c r="I153" s="89">
        <f t="shared" si="22"/>
        <v>0.75419999999999732</v>
      </c>
      <c r="J153" s="101">
        <f t="shared" si="36"/>
        <v>3.8185408333755126</v>
      </c>
      <c r="K153" s="89">
        <f t="shared" si="32"/>
        <v>0.57950000000000301</v>
      </c>
      <c r="L153" s="101">
        <f t="shared" si="30"/>
        <v>76.836382922302448</v>
      </c>
      <c r="M153" s="114">
        <f t="shared" si="34"/>
        <v>3.7856845045175995</v>
      </c>
      <c r="N153" s="114">
        <f t="shared" si="37"/>
        <v>78.661211595432391</v>
      </c>
      <c r="O153" s="89">
        <f t="shared" si="20"/>
        <v>38185.408333755127</v>
      </c>
      <c r="P153" s="89">
        <f t="shared" si="31"/>
        <v>29340.286567768879</v>
      </c>
      <c r="Q153" s="114">
        <f t="shared" si="24"/>
        <v>37856.845045175993</v>
      </c>
      <c r="R153" s="114">
        <f t="shared" si="24"/>
        <v>29759.251529297759</v>
      </c>
      <c r="S153" s="114">
        <f t="shared" si="33"/>
        <v>29.75925152929776</v>
      </c>
      <c r="T153" s="115">
        <f t="shared" si="25"/>
        <v>9.2345361786887833E-2</v>
      </c>
      <c r="U153" s="115">
        <f t="shared" si="26"/>
        <v>3.215869753609963</v>
      </c>
      <c r="V153" s="115">
        <f t="shared" si="27"/>
        <v>0.50874330286709135</v>
      </c>
    </row>
    <row r="154" spans="1:22" x14ac:dyDescent="0.25">
      <c r="C154" s="89" t="s">
        <v>131</v>
      </c>
      <c r="D154" s="89">
        <v>24.513999999999999</v>
      </c>
      <c r="E154" s="89">
        <v>45.755299999999998</v>
      </c>
      <c r="F154" s="89">
        <v>25.333300000000001</v>
      </c>
      <c r="G154" s="89">
        <v>24.7043</v>
      </c>
      <c r="H154" s="89">
        <f t="shared" si="35"/>
        <v>21.241299999999999</v>
      </c>
      <c r="I154" s="89">
        <f t="shared" si="22"/>
        <v>0.81930000000000192</v>
      </c>
      <c r="J154" s="101">
        <f t="shared" si="36"/>
        <v>3.8571085573858563</v>
      </c>
      <c r="K154" s="89">
        <f t="shared" si="32"/>
        <v>0.62900000000000134</v>
      </c>
      <c r="L154" s="101">
        <f t="shared" si="30"/>
        <v>76.77285487611374</v>
      </c>
      <c r="M154" s="114"/>
      <c r="N154" s="114"/>
      <c r="O154" s="89">
        <f t="shared" si="20"/>
        <v>38571.08557385856</v>
      </c>
      <c r="P154" s="89">
        <f t="shared" si="31"/>
        <v>29612.12355176008</v>
      </c>
      <c r="Q154" s="114">
        <f t="shared" si="24"/>
        <v>37470.376499256607</v>
      </c>
      <c r="R154" s="114"/>
      <c r="S154" s="114"/>
      <c r="T154" s="115">
        <f t="shared" si="25"/>
        <v>9.5911535602932099E-2</v>
      </c>
      <c r="U154" s="115">
        <f t="shared" si="26"/>
        <v>3.4993945085092384</v>
      </c>
      <c r="V154" s="115">
        <f t="shared" si="27"/>
        <v>1.1267378568193616</v>
      </c>
    </row>
    <row r="155" spans="1:22" x14ac:dyDescent="0.25">
      <c r="C155" s="89">
        <v>1</v>
      </c>
      <c r="D155" s="89">
        <v>36.255200000000002</v>
      </c>
      <c r="E155" s="89">
        <v>59.341500000000003</v>
      </c>
      <c r="F155" s="89">
        <v>37.1051</v>
      </c>
      <c r="G155" s="89">
        <v>36.405000000000001</v>
      </c>
      <c r="H155" s="89">
        <f t="shared" si="35"/>
        <v>23.086300000000001</v>
      </c>
      <c r="I155" s="89">
        <f t="shared" si="22"/>
        <v>0.8498999999999981</v>
      </c>
      <c r="J155" s="101">
        <f t="shared" si="36"/>
        <v>3.6814041227914305</v>
      </c>
      <c r="K155" s="89">
        <f t="shared" si="32"/>
        <v>0.70009999999999906</v>
      </c>
      <c r="L155" s="101">
        <f t="shared" si="30"/>
        <v>82.374396987880999</v>
      </c>
      <c r="M155" s="114"/>
      <c r="N155" s="114"/>
      <c r="O155" s="89">
        <f t="shared" ref="O155:O207" si="38">((F155-D155)/(H155))*1000000</f>
        <v>36814.041227914306</v>
      </c>
      <c r="P155" s="89">
        <f t="shared" si="31"/>
        <v>30325.344468364314</v>
      </c>
      <c r="Q155" s="114">
        <f t="shared" si="24"/>
        <v>36412.132405000477</v>
      </c>
      <c r="R155" s="114"/>
      <c r="S155" s="114"/>
      <c r="T155" s="115">
        <f t="shared" si="25"/>
        <v>8.8605153472034098E-2</v>
      </c>
      <c r="U155" s="115">
        <f t="shared" si="26"/>
        <v>3.9069435072655425</v>
      </c>
      <c r="V155" s="115">
        <f t="shared" si="27"/>
        <v>1.845535416864132</v>
      </c>
    </row>
    <row r="156" spans="1:22" x14ac:dyDescent="0.25">
      <c r="A156" s="94">
        <v>44435</v>
      </c>
      <c r="B156" s="89">
        <v>119</v>
      </c>
      <c r="C156" s="89" t="s">
        <v>134</v>
      </c>
      <c r="D156" s="89">
        <v>24.616</v>
      </c>
      <c r="E156" s="89">
        <v>45.090800000000002</v>
      </c>
      <c r="F156" s="89">
        <v>25.374099999999999</v>
      </c>
      <c r="G156" s="89">
        <v>24.798400000000001</v>
      </c>
      <c r="H156" s="89">
        <f t="shared" si="35"/>
        <v>20.474800000000002</v>
      </c>
      <c r="I156" s="89">
        <f t="shared" si="22"/>
        <v>0.75809999999999889</v>
      </c>
      <c r="J156" s="101">
        <f t="shared" si="36"/>
        <v>3.7026002695996971</v>
      </c>
      <c r="K156" s="89">
        <f t="shared" si="32"/>
        <v>0.57569999999999766</v>
      </c>
      <c r="L156" s="101">
        <f t="shared" si="30"/>
        <v>75.939849624059946</v>
      </c>
      <c r="M156" s="114">
        <f t="shared" si="34"/>
        <v>3.7030869091425553</v>
      </c>
      <c r="N156" s="114">
        <f t="shared" si="37"/>
        <v>76.167477856039781</v>
      </c>
      <c r="O156" s="89">
        <f t="shared" si="38"/>
        <v>37026.002695996969</v>
      </c>
      <c r="P156" s="89">
        <f t="shared" si="31"/>
        <v>28117.490769140484</v>
      </c>
      <c r="Q156" s="114">
        <f t="shared" si="24"/>
        <v>37030.869091425557</v>
      </c>
      <c r="R156" s="114">
        <f t="shared" si="24"/>
        <v>28215.998665392046</v>
      </c>
      <c r="S156" s="114">
        <f t="shared" si="33"/>
        <v>28.215998665392046</v>
      </c>
      <c r="T156" s="115">
        <f t="shared" si="25"/>
        <v>0.16369544231802061</v>
      </c>
      <c r="U156" s="115">
        <f t="shared" si="26"/>
        <v>0.98340977311748801</v>
      </c>
      <c r="V156" s="115">
        <f t="shared" si="27"/>
        <v>1.6077477606882982</v>
      </c>
    </row>
    <row r="157" spans="1:22" x14ac:dyDescent="0.25">
      <c r="C157" s="89">
        <v>25</v>
      </c>
      <c r="D157" s="89">
        <v>25.693000000000001</v>
      </c>
      <c r="E157" s="89">
        <v>45.025500000000001</v>
      </c>
      <c r="F157" s="89">
        <v>26.377300000000002</v>
      </c>
      <c r="G157" s="89">
        <v>25.861899999999999</v>
      </c>
      <c r="H157" s="89">
        <f t="shared" si="35"/>
        <v>19.3325</v>
      </c>
      <c r="I157" s="89">
        <f t="shared" si="22"/>
        <v>0.68430000000000035</v>
      </c>
      <c r="J157" s="101">
        <f t="shared" si="36"/>
        <v>3.5396353291090152</v>
      </c>
      <c r="K157" s="89">
        <f t="shared" si="32"/>
        <v>0.51540000000000319</v>
      </c>
      <c r="L157" s="101">
        <f t="shared" si="30"/>
        <v>75.317843051293721</v>
      </c>
      <c r="M157" s="114"/>
      <c r="N157" s="114"/>
      <c r="O157" s="89">
        <f t="shared" si="38"/>
        <v>35396.353291090149</v>
      </c>
      <c r="P157" s="89">
        <f t="shared" si="31"/>
        <v>26659.769817664721</v>
      </c>
      <c r="Q157" s="114">
        <f t="shared" si="24"/>
        <v>38353.112470578482</v>
      </c>
      <c r="R157" s="114"/>
      <c r="S157" s="114"/>
      <c r="T157" s="115">
        <f t="shared" si="25"/>
        <v>0.28116363149068785</v>
      </c>
      <c r="U157" s="115">
        <f t="shared" si="26"/>
        <v>1.4690647234566034</v>
      </c>
      <c r="V157" s="115">
        <f t="shared" si="27"/>
        <v>2.0533164755174527</v>
      </c>
    </row>
    <row r="158" spans="1:22" x14ac:dyDescent="0.25">
      <c r="C158" s="89" t="s">
        <v>40</v>
      </c>
      <c r="D158" s="89">
        <v>23.894200000000001</v>
      </c>
      <c r="E158" s="89">
        <v>44.054400000000001</v>
      </c>
      <c r="F158" s="89">
        <v>24.6738</v>
      </c>
      <c r="G158" s="89">
        <v>24.0716</v>
      </c>
      <c r="H158" s="89">
        <f t="shared" si="35"/>
        <v>20.1602</v>
      </c>
      <c r="I158" s="89">
        <f t="shared" si="22"/>
        <v>0.77959999999999852</v>
      </c>
      <c r="J158" s="101">
        <f t="shared" si="36"/>
        <v>3.8670251287189537</v>
      </c>
      <c r="K158" s="89">
        <f t="shared" si="32"/>
        <v>0.60219999999999985</v>
      </c>
      <c r="L158" s="101">
        <f t="shared" si="30"/>
        <v>77.244740892765648</v>
      </c>
      <c r="M158" s="114"/>
      <c r="N158" s="114"/>
      <c r="O158" s="89">
        <f t="shared" si="38"/>
        <v>38670.251287189538</v>
      </c>
      <c r="P158" s="89">
        <f t="shared" si="31"/>
        <v>29870.735409370933</v>
      </c>
      <c r="Q158" s="114">
        <f t="shared" si="24"/>
        <v>39501.859056242094</v>
      </c>
      <c r="R158" s="114"/>
      <c r="S158" s="114"/>
      <c r="T158" s="115">
        <f t="shared" si="25"/>
        <v>0.12940069108487307</v>
      </c>
      <c r="U158" s="115">
        <f t="shared" si="26"/>
        <v>2.0767563798870823</v>
      </c>
      <c r="V158" s="115">
        <f t="shared" si="27"/>
        <v>1.049125945779471</v>
      </c>
    </row>
    <row r="159" spans="1:22" x14ac:dyDescent="0.25">
      <c r="A159" s="94">
        <v>44469</v>
      </c>
      <c r="B159" s="89">
        <v>122</v>
      </c>
      <c r="C159" s="89">
        <v>66</v>
      </c>
      <c r="D159" s="89">
        <v>21.149899999999999</v>
      </c>
      <c r="E159" s="89">
        <v>42.795200000000001</v>
      </c>
      <c r="F159" s="89">
        <v>22.037199999999999</v>
      </c>
      <c r="G159" s="89">
        <v>21.377400000000002</v>
      </c>
      <c r="H159" s="89">
        <f t="shared" si="35"/>
        <v>21.645300000000002</v>
      </c>
      <c r="I159" s="89">
        <f t="shared" si="22"/>
        <v>0.88729999999999976</v>
      </c>
      <c r="J159" s="101">
        <f t="shared" si="36"/>
        <v>4.0992732833455747</v>
      </c>
      <c r="K159" s="89">
        <f t="shared" si="32"/>
        <v>0.65979999999999706</v>
      </c>
      <c r="L159" s="101">
        <f t="shared" si="30"/>
        <v>74.360419249408011</v>
      </c>
      <c r="M159" s="114">
        <f t="shared" si="34"/>
        <v>3.9911641748126265</v>
      </c>
      <c r="N159" s="114">
        <f t="shared" si="37"/>
        <v>73.93549928340552</v>
      </c>
      <c r="O159" s="89">
        <f t="shared" si="38"/>
        <v>40992.732833455746</v>
      </c>
      <c r="P159" s="89">
        <f t="shared" si="31"/>
        <v>30482.367996747424</v>
      </c>
      <c r="Q159" s="114">
        <f t="shared" si="24"/>
        <v>39911.641748126269</v>
      </c>
      <c r="R159" s="114">
        <f t="shared" si="24"/>
        <v>29512.96100379468</v>
      </c>
      <c r="S159" s="114">
        <f t="shared" si="33"/>
        <v>29.512961003794679</v>
      </c>
      <c r="T159" s="115">
        <f t="shared" si="25"/>
        <v>0.1075120476246894</v>
      </c>
      <c r="U159" s="115">
        <f t="shared" si="26"/>
        <v>0.62789166622856962</v>
      </c>
      <c r="V159" s="115">
        <f t="shared" si="27"/>
        <v>1.0260752308439942</v>
      </c>
    </row>
    <row r="160" spans="1:22" x14ac:dyDescent="0.25">
      <c r="C160" s="89">
        <v>84</v>
      </c>
      <c r="D160" s="89">
        <v>26.265799999999999</v>
      </c>
      <c r="E160" s="89">
        <v>46.594000000000001</v>
      </c>
      <c r="F160" s="89">
        <v>27.055399999999999</v>
      </c>
      <c r="G160" s="89">
        <v>26.4773</v>
      </c>
      <c r="H160" s="89">
        <f t="shared" si="35"/>
        <v>20.328200000000002</v>
      </c>
      <c r="I160" s="89">
        <f t="shared" si="22"/>
        <v>0.78960000000000008</v>
      </c>
      <c r="J160" s="101">
        <f t="shared" si="36"/>
        <v>3.8842593048080993</v>
      </c>
      <c r="K160" s="89">
        <f t="shared" si="32"/>
        <v>0.57809999999999917</v>
      </c>
      <c r="L160" s="101">
        <f t="shared" si="30"/>
        <v>73.214285714285595</v>
      </c>
      <c r="M160" s="114"/>
      <c r="N160" s="114"/>
      <c r="O160" s="89">
        <f t="shared" si="38"/>
        <v>38842.593048080991</v>
      </c>
      <c r="P160" s="89">
        <f t="shared" si="31"/>
        <v>28438.327053059253</v>
      </c>
      <c r="Q160" s="114">
        <f t="shared" si="24"/>
        <v>39195.797736834873</v>
      </c>
      <c r="R160" s="114"/>
      <c r="S160" s="114"/>
      <c r="T160" s="115">
        <f t="shared" si="25"/>
        <v>6.095114819835222E-2</v>
      </c>
      <c r="U160" s="115">
        <f t="shared" si="26"/>
        <v>1.372565723461725</v>
      </c>
      <c r="V160" s="115">
        <f t="shared" si="27"/>
        <v>0.64869982086476907</v>
      </c>
    </row>
    <row r="161" spans="1:22" x14ac:dyDescent="0.25">
      <c r="C161" s="89" t="s">
        <v>85</v>
      </c>
      <c r="D161" s="89">
        <v>38.820999999999998</v>
      </c>
      <c r="E161" s="89">
        <v>59.537999999999997</v>
      </c>
      <c r="F161" s="89">
        <v>39.647599999999997</v>
      </c>
      <c r="G161" s="89">
        <v>39.033999999999999</v>
      </c>
      <c r="H161" s="89">
        <f t="shared" si="35"/>
        <v>20.716999999999999</v>
      </c>
      <c r="I161" s="89">
        <f t="shared" si="22"/>
        <v>0.82659999999999911</v>
      </c>
      <c r="J161" s="101">
        <f t="shared" si="36"/>
        <v>3.9899599362842069</v>
      </c>
      <c r="K161" s="89">
        <f t="shared" si="32"/>
        <v>0.61359999999999815</v>
      </c>
      <c r="L161" s="101">
        <f t="shared" si="30"/>
        <v>74.231792886522967</v>
      </c>
      <c r="M161" s="114"/>
      <c r="N161" s="114"/>
      <c r="O161" s="89">
        <f t="shared" si="38"/>
        <v>39899.599362842069</v>
      </c>
      <c r="P161" s="89">
        <f t="shared" si="31"/>
        <v>29618.187961577361</v>
      </c>
      <c r="Q161" s="114">
        <f t="shared" si="24"/>
        <v>38902.264931223792</v>
      </c>
      <c r="R161" s="114"/>
      <c r="S161" s="114"/>
      <c r="T161" s="115">
        <f t="shared" si="25"/>
        <v>9.7006198787203818E-2</v>
      </c>
      <c r="U161" s="115">
        <f t="shared" si="26"/>
        <v>0.86941812033692711</v>
      </c>
      <c r="V161" s="115">
        <f t="shared" si="27"/>
        <v>0.68158003283821789</v>
      </c>
    </row>
    <row r="162" spans="1:22" x14ac:dyDescent="0.25">
      <c r="A162" s="94">
        <v>44440</v>
      </c>
      <c r="B162" s="89">
        <v>124</v>
      </c>
      <c r="C162" s="89" t="s">
        <v>158</v>
      </c>
      <c r="D162" s="89">
        <v>24.5137</v>
      </c>
      <c r="E162" s="89">
        <v>44.974400000000003</v>
      </c>
      <c r="F162" s="89">
        <v>25.308499999999999</v>
      </c>
      <c r="G162" s="89">
        <v>24.704999999999998</v>
      </c>
      <c r="H162" s="89">
        <f t="shared" si="35"/>
        <v>20.460700000000003</v>
      </c>
      <c r="I162" s="89">
        <f t="shared" si="22"/>
        <v>0.79479999999999862</v>
      </c>
      <c r="J162" s="101">
        <f>(I162/H162)*100</f>
        <v>3.8845200799581563</v>
      </c>
      <c r="K162" s="89">
        <f t="shared" si="32"/>
        <v>0.60350000000000037</v>
      </c>
      <c r="L162" s="101">
        <f t="shared" si="30"/>
        <v>75.931051836940284</v>
      </c>
      <c r="M162" s="114">
        <f t="shared" si="34"/>
        <v>3.8235115827452097</v>
      </c>
      <c r="N162" s="114">
        <f t="shared" si="37"/>
        <v>75.08316000676723</v>
      </c>
      <c r="O162" s="89">
        <f t="shared" si="38"/>
        <v>38845.200799581566</v>
      </c>
      <c r="P162" s="89">
        <f t="shared" si="31"/>
        <v>29495.56955529382</v>
      </c>
      <c r="Q162" s="114">
        <f t="shared" si="24"/>
        <v>38235.1158274521</v>
      </c>
      <c r="R162" s="114">
        <f t="shared" si="24"/>
        <v>28710.74149213919</v>
      </c>
      <c r="S162" s="114">
        <f t="shared" si="33"/>
        <v>28.710741492139189</v>
      </c>
      <c r="T162" s="115">
        <f t="shared" si="25"/>
        <v>5.2931250094817112E-2</v>
      </c>
      <c r="U162" s="115">
        <f t="shared" si="26"/>
        <v>0.74145007258531737</v>
      </c>
      <c r="V162" s="115">
        <f t="shared" si="27"/>
        <v>0.68257664778839111</v>
      </c>
    </row>
    <row r="163" spans="1:22" x14ac:dyDescent="0.25">
      <c r="D163" s="89">
        <v>18.856400000000001</v>
      </c>
      <c r="E163" s="89">
        <v>39.606099999999998</v>
      </c>
      <c r="F163" s="89">
        <v>19.644100000000002</v>
      </c>
      <c r="G163" s="89">
        <v>19.055199999999999</v>
      </c>
      <c r="H163" s="89">
        <f t="shared" si="35"/>
        <v>20.749699999999997</v>
      </c>
      <c r="I163" s="89">
        <f t="shared" si="22"/>
        <v>0.78770000000000095</v>
      </c>
      <c r="J163" s="101">
        <f t="shared" si="36"/>
        <v>3.7961994631247733</v>
      </c>
      <c r="K163" s="89">
        <f t="shared" si="32"/>
        <v>0.58890000000000242</v>
      </c>
      <c r="L163" s="101">
        <f t="shared" si="30"/>
        <v>74.761965215183665</v>
      </c>
      <c r="M163" s="114"/>
      <c r="N163" s="114"/>
      <c r="O163" s="89">
        <f t="shared" si="38"/>
        <v>37961.994631247733</v>
      </c>
      <c r="P163" s="89">
        <f t="shared" si="31"/>
        <v>28381.133221203319</v>
      </c>
      <c r="Q163" s="114">
        <f t="shared" si="24"/>
        <v>38163.999102323338</v>
      </c>
      <c r="R163" s="114"/>
      <c r="S163" s="114"/>
      <c r="T163" s="115">
        <f t="shared" si="25"/>
        <v>4.0642681215042997E-2</v>
      </c>
      <c r="U163" s="115">
        <f t="shared" si="26"/>
        <v>0.81100519277873584</v>
      </c>
      <c r="V163" s="115">
        <f t="shared" si="27"/>
        <v>0.61646800884669106</v>
      </c>
    </row>
    <row r="164" spans="1:22" x14ac:dyDescent="0.25">
      <c r="D164" s="89">
        <v>25.523299999999999</v>
      </c>
      <c r="E164" s="89">
        <v>44.262999999999998</v>
      </c>
      <c r="F164" s="89">
        <v>26.233499999999999</v>
      </c>
      <c r="G164" s="89">
        <v>25.704000000000001</v>
      </c>
      <c r="H164" s="89">
        <f t="shared" si="35"/>
        <v>18.739699999999999</v>
      </c>
      <c r="I164" s="89">
        <f t="shared" si="22"/>
        <v>0.71020000000000039</v>
      </c>
      <c r="J164" s="101">
        <f t="shared" si="36"/>
        <v>3.7898152051526997</v>
      </c>
      <c r="K164" s="89">
        <f t="shared" si="32"/>
        <v>0.52949999999999875</v>
      </c>
      <c r="L164" s="101">
        <f t="shared" si="30"/>
        <v>74.556462968177755</v>
      </c>
      <c r="M164" s="114"/>
      <c r="N164" s="114"/>
      <c r="O164" s="89">
        <f t="shared" si="38"/>
        <v>37898.152051526995</v>
      </c>
      <c r="P164" s="89">
        <f t="shared" si="31"/>
        <v>28255.521699920428</v>
      </c>
      <c r="Q164" s="114">
        <f t="shared" si="24"/>
        <v>37388.862752557216</v>
      </c>
      <c r="R164" s="114"/>
      <c r="S164" s="114"/>
      <c r="T164" s="115">
        <f t="shared" si="25"/>
        <v>0.15612286382394119</v>
      </c>
      <c r="U164" s="115">
        <f t="shared" si="26"/>
        <v>0.87970503619592089</v>
      </c>
      <c r="V164" s="115">
        <f t="shared" si="27"/>
        <v>1.425022171220198</v>
      </c>
    </row>
    <row r="165" spans="1:22" x14ac:dyDescent="0.25">
      <c r="A165" s="94">
        <v>44442</v>
      </c>
      <c r="B165" s="89">
        <v>126</v>
      </c>
      <c r="C165" s="89" t="s">
        <v>121</v>
      </c>
      <c r="D165" s="89">
        <v>41.520499999999998</v>
      </c>
      <c r="E165" s="89">
        <v>61.009599999999999</v>
      </c>
      <c r="F165" s="89">
        <v>42.273400000000002</v>
      </c>
      <c r="G165" s="89">
        <v>41.700800000000001</v>
      </c>
      <c r="H165" s="89">
        <f t="shared" si="35"/>
        <v>19.489100000000001</v>
      </c>
      <c r="I165" s="89">
        <f t="shared" si="22"/>
        <v>0.7529000000000039</v>
      </c>
      <c r="J165" s="101">
        <f t="shared" si="36"/>
        <v>3.8631850624195261</v>
      </c>
      <c r="K165" s="89">
        <f t="shared" si="32"/>
        <v>0.57260000000000133</v>
      </c>
      <c r="L165" s="101">
        <f t="shared" si="30"/>
        <v>76.052596626377792</v>
      </c>
      <c r="M165" s="114">
        <f t="shared" si="34"/>
        <v>3.7795119982650465</v>
      </c>
      <c r="N165" s="114">
        <f t="shared" si="37"/>
        <v>75.946880394264511</v>
      </c>
      <c r="O165" s="89">
        <f t="shared" si="38"/>
        <v>38631.850624195264</v>
      </c>
      <c r="P165" s="89">
        <f t="shared" si="31"/>
        <v>29380.525524524033</v>
      </c>
      <c r="Q165" s="114">
        <f t="shared" si="24"/>
        <v>37795.119982650467</v>
      </c>
      <c r="R165" s="114">
        <f>AVERAGE(P165:P167)</f>
        <v>28720.797030601661</v>
      </c>
      <c r="S165" s="114">
        <f t="shared" si="33"/>
        <v>28.720797030601663</v>
      </c>
      <c r="T165" s="115">
        <f t="shared" si="25"/>
        <v>0.18850138067438094</v>
      </c>
      <c r="U165" s="115">
        <f t="shared" si="26"/>
        <v>1.3942689496371723</v>
      </c>
      <c r="V165" s="115">
        <f t="shared" si="27"/>
        <v>1.9273242152943451</v>
      </c>
    </row>
    <row r="166" spans="1:22" x14ac:dyDescent="0.25">
      <c r="C166" s="89">
        <v>25</v>
      </c>
      <c r="D166" s="89">
        <v>25.718699999999998</v>
      </c>
      <c r="E166" s="89">
        <v>46.0349</v>
      </c>
      <c r="F166" s="89">
        <v>26.442699999999999</v>
      </c>
      <c r="G166" s="89">
        <v>25.903300000000002</v>
      </c>
      <c r="H166" s="89">
        <f t="shared" si="35"/>
        <v>20.316200000000002</v>
      </c>
      <c r="I166" s="89">
        <f t="shared" si="22"/>
        <v>0.7240000000000002</v>
      </c>
      <c r="J166" s="101">
        <f t="shared" si="36"/>
        <v>3.5636585581949389</v>
      </c>
      <c r="K166" s="89">
        <f t="shared" si="32"/>
        <v>0.53939999999999699</v>
      </c>
      <c r="L166" s="101">
        <f t="shared" si="30"/>
        <v>74.502762430938802</v>
      </c>
      <c r="M166" s="114"/>
      <c r="N166" s="114"/>
      <c r="O166" s="89">
        <f t="shared" si="38"/>
        <v>35636.585581949388</v>
      </c>
      <c r="P166" s="89">
        <f t="shared" si="31"/>
        <v>26550.24069461794</v>
      </c>
      <c r="Q166" s="114">
        <f t="shared" si="24"/>
        <v>40765.899049807093</v>
      </c>
      <c r="R166" s="114"/>
      <c r="S166" s="114"/>
      <c r="T166" s="115">
        <f t="shared" si="25"/>
        <v>0.61226699628048198</v>
      </c>
      <c r="U166" s="115">
        <f t="shared" si="26"/>
        <v>2.3171902658340739</v>
      </c>
      <c r="V166" s="115">
        <f t="shared" si="27"/>
        <v>4.0078144633257482</v>
      </c>
    </row>
    <row r="167" spans="1:22" x14ac:dyDescent="0.25">
      <c r="C167" s="89">
        <v>0</v>
      </c>
      <c r="D167" s="89">
        <v>20.018000000000001</v>
      </c>
      <c r="E167" s="89">
        <v>39.454599999999999</v>
      </c>
      <c r="F167" s="89">
        <v>20.778300000000002</v>
      </c>
      <c r="G167" s="89">
        <v>20.1907</v>
      </c>
      <c r="H167" s="89">
        <f t="shared" si="35"/>
        <v>19.436599999999999</v>
      </c>
      <c r="I167" s="89">
        <f t="shared" si="22"/>
        <v>0.76030000000000086</v>
      </c>
      <c r="J167" s="101">
        <f t="shared" si="36"/>
        <v>3.9116923741806739</v>
      </c>
      <c r="K167" s="89">
        <f t="shared" si="32"/>
        <v>0.5876000000000019</v>
      </c>
      <c r="L167" s="101">
        <f t="shared" si="30"/>
        <v>77.285282125476954</v>
      </c>
      <c r="M167" s="114"/>
      <c r="N167" s="114"/>
      <c r="O167" s="89">
        <f t="shared" si="38"/>
        <v>39116.923741806742</v>
      </c>
      <c r="P167" s="89">
        <f t="shared" si="31"/>
        <v>30231.624872663015</v>
      </c>
      <c r="Q167" s="114">
        <f t="shared" si="24"/>
        <v>45082.787927052028</v>
      </c>
      <c r="R167" s="114"/>
      <c r="S167" s="114"/>
      <c r="T167" s="115">
        <f t="shared" si="25"/>
        <v>0.51928457936840955</v>
      </c>
      <c r="U167" s="115">
        <f t="shared" si="26"/>
        <v>2.6336889009811211</v>
      </c>
      <c r="V167" s="115">
        <f t="shared" si="27"/>
        <v>2.7563110242966071</v>
      </c>
    </row>
    <row r="168" spans="1:22" x14ac:dyDescent="0.25">
      <c r="A168" s="94">
        <v>44445</v>
      </c>
      <c r="B168" s="89">
        <v>129</v>
      </c>
      <c r="C168" s="89" t="s">
        <v>31</v>
      </c>
      <c r="D168" s="89">
        <v>25.534199999999998</v>
      </c>
      <c r="E168" s="89">
        <v>46.9711</v>
      </c>
      <c r="F168" s="89">
        <v>26.5534</v>
      </c>
      <c r="G168" s="89">
        <v>25.8126</v>
      </c>
      <c r="H168" s="89">
        <f t="shared" si="35"/>
        <v>21.436900000000001</v>
      </c>
      <c r="I168" s="89">
        <f t="shared" si="22"/>
        <v>1.0192000000000014</v>
      </c>
      <c r="J168" s="101">
        <f t="shared" si="36"/>
        <v>4.7544187825665158</v>
      </c>
      <c r="K168" s="89">
        <f t="shared" si="32"/>
        <v>0.74080000000000013</v>
      </c>
      <c r="L168" s="101">
        <f t="shared" si="30"/>
        <v>72.684458398744027</v>
      </c>
      <c r="M168" s="114">
        <f t="shared" si="34"/>
        <v>4.8143759991331079</v>
      </c>
      <c r="N168" s="114">
        <f t="shared" si="37"/>
        <v>72.877145503968734</v>
      </c>
      <c r="O168" s="89">
        <f t="shared" si="38"/>
        <v>47544.187825665154</v>
      </c>
      <c r="P168" s="89">
        <f t="shared" si="31"/>
        <v>34557.235421166311</v>
      </c>
      <c r="Q168" s="114">
        <f t="shared" si="24"/>
        <v>48143.759991331084</v>
      </c>
      <c r="R168" s="114">
        <f t="shared" si="24"/>
        <v>35086.174753728315</v>
      </c>
      <c r="S168" s="114">
        <f t="shared" si="33"/>
        <v>35.086174753728315</v>
      </c>
      <c r="T168" s="115">
        <f t="shared" si="25"/>
        <v>5.3876390090351139E-2</v>
      </c>
      <c r="U168" s="115">
        <f t="shared" si="26"/>
        <v>0.2680047331748282</v>
      </c>
      <c r="V168" s="115">
        <f t="shared" si="27"/>
        <v>0.45808659975279958</v>
      </c>
    </row>
    <row r="169" spans="1:22" x14ac:dyDescent="0.25">
      <c r="C169" s="89" t="s">
        <v>91</v>
      </c>
      <c r="D169" s="89">
        <v>42.217399999999998</v>
      </c>
      <c r="E169" s="89">
        <v>60.6708</v>
      </c>
      <c r="F169" s="89">
        <v>43.113999999999997</v>
      </c>
      <c r="G169" s="89">
        <v>42.461599999999997</v>
      </c>
      <c r="H169" s="89">
        <f t="shared" si="35"/>
        <v>18.453400000000002</v>
      </c>
      <c r="I169" s="89">
        <f t="shared" si="22"/>
        <v>0.8965999999999994</v>
      </c>
      <c r="J169" s="101">
        <f t="shared" si="36"/>
        <v>4.8587252213684158</v>
      </c>
      <c r="K169" s="89">
        <f t="shared" si="32"/>
        <v>0.65240000000000009</v>
      </c>
      <c r="L169" s="101">
        <f t="shared" si="30"/>
        <v>72.763774258309226</v>
      </c>
      <c r="M169" s="114"/>
      <c r="N169" s="114"/>
      <c r="O169" s="89">
        <f t="shared" si="38"/>
        <v>48587.252213684158</v>
      </c>
      <c r="P169" s="89">
        <f t="shared" si="31"/>
        <v>35353.9185190805</v>
      </c>
      <c r="Q169" s="114">
        <f t="shared" si="24"/>
        <v>49541.818935602561</v>
      </c>
      <c r="R169" s="114"/>
      <c r="S169" s="114"/>
      <c r="T169" s="115">
        <f t="shared" si="25"/>
        <v>0.19076847981395742</v>
      </c>
      <c r="U169" s="115">
        <f t="shared" si="26"/>
        <v>1.3635758711094632</v>
      </c>
      <c r="V169" s="115">
        <f t="shared" si="27"/>
        <v>0.69123228422530825</v>
      </c>
    </row>
    <row r="170" spans="1:22" x14ac:dyDescent="0.25">
      <c r="C170" s="89">
        <v>1</v>
      </c>
      <c r="D170" s="89">
        <v>36.206200000000003</v>
      </c>
      <c r="E170" s="89">
        <v>57.260100000000001</v>
      </c>
      <c r="F170" s="89">
        <v>37.223100000000002</v>
      </c>
      <c r="G170" s="89">
        <v>36.478900000000003</v>
      </c>
      <c r="H170" s="89">
        <f t="shared" si="35"/>
        <v>21.053899999999999</v>
      </c>
      <c r="I170" s="89">
        <f t="shared" si="22"/>
        <v>1.0168999999999997</v>
      </c>
      <c r="J170" s="101">
        <f t="shared" si="36"/>
        <v>4.8299839934643929</v>
      </c>
      <c r="K170" s="89">
        <f t="shared" si="32"/>
        <v>0.74419999999999931</v>
      </c>
      <c r="L170" s="101">
        <f t="shared" si="30"/>
        <v>73.183203854852934</v>
      </c>
      <c r="M170" s="114"/>
      <c r="N170" s="114"/>
      <c r="O170" s="89">
        <f t="shared" si="38"/>
        <v>48299.839934643926</v>
      </c>
      <c r="P170" s="89">
        <f t="shared" si="31"/>
        <v>35347.370320938135</v>
      </c>
      <c r="Q170" s="114">
        <f t="shared" ref="Q170:R226" si="39">AVERAGE(O170:O172)</f>
        <v>49321.074818674409</v>
      </c>
      <c r="R170" s="114"/>
      <c r="S170" s="114"/>
      <c r="T170" s="115">
        <f t="shared" ref="T170:T229" si="40">_xlfn.STDEV.S(J170:J172)</f>
        <v>0.21018064013520951</v>
      </c>
      <c r="U170" s="115">
        <f t="shared" ref="U170:U227" si="41">_xlfn.STDEV.S(L170:L172)</f>
        <v>2.0018413678154778</v>
      </c>
      <c r="V170" s="115">
        <f t="shared" ref="V170:V229" si="42">_xlfn.STDEV.S(P170:P172)/1000</f>
        <v>1.7067622404960445</v>
      </c>
    </row>
    <row r="171" spans="1:22" x14ac:dyDescent="0.25">
      <c r="A171" s="94">
        <v>44447</v>
      </c>
      <c r="B171" s="89">
        <v>131</v>
      </c>
      <c r="C171" s="89" t="s">
        <v>127</v>
      </c>
      <c r="D171" s="89">
        <v>24.439699999999998</v>
      </c>
      <c r="E171" s="89">
        <v>45.163200000000003</v>
      </c>
      <c r="F171" s="89">
        <v>25.511900000000001</v>
      </c>
      <c r="G171" s="89">
        <v>24.7545</v>
      </c>
      <c r="H171" s="89">
        <f t="shared" si="35"/>
        <v>20.723500000000005</v>
      </c>
      <c r="I171" s="89">
        <f t="shared" si="22"/>
        <v>1.0722000000000023</v>
      </c>
      <c r="J171" s="101">
        <f t="shared" si="36"/>
        <v>5.1738364658479599</v>
      </c>
      <c r="K171" s="89">
        <f t="shared" si="32"/>
        <v>0.75740000000000052</v>
      </c>
      <c r="L171" s="101">
        <f t="shared" si="30"/>
        <v>70.639806006341999</v>
      </c>
      <c r="M171" s="114">
        <f t="shared" si="34"/>
        <v>4.9099074359348132</v>
      </c>
      <c r="N171" s="114">
        <f t="shared" si="37"/>
        <v>70.117734986749312</v>
      </c>
      <c r="O171" s="89">
        <f t="shared" si="38"/>
        <v>51738.364658479601</v>
      </c>
      <c r="P171" s="89">
        <f t="shared" si="31"/>
        <v>36547.880425603798</v>
      </c>
      <c r="Q171" s="114">
        <f t="shared" si="39"/>
        <v>49099.074359348138</v>
      </c>
      <c r="R171" s="114">
        <f t="shared" si="39"/>
        <v>34433.443673029789</v>
      </c>
      <c r="S171" s="114">
        <f t="shared" si="33"/>
        <v>34.433443673029792</v>
      </c>
      <c r="T171" s="115">
        <f t="shared" si="40"/>
        <v>0.22903245622819945</v>
      </c>
      <c r="U171" s="115">
        <f t="shared" si="41"/>
        <v>0.76974244181093654</v>
      </c>
      <c r="V171" s="115">
        <f t="shared" si="42"/>
        <v>1.8416096671169149</v>
      </c>
    </row>
    <row r="172" spans="1:22" x14ac:dyDescent="0.25">
      <c r="C172" s="89" t="s">
        <v>161</v>
      </c>
      <c r="D172" s="89">
        <v>24.514800000000001</v>
      </c>
      <c r="E172" s="89">
        <v>46.163200000000003</v>
      </c>
      <c r="F172" s="89">
        <v>25.552299999999999</v>
      </c>
      <c r="G172" s="89">
        <v>24.834</v>
      </c>
      <c r="H172" s="89">
        <f t="shared" si="35"/>
        <v>21.648400000000002</v>
      </c>
      <c r="I172" s="89">
        <f t="shared" si="22"/>
        <v>1.0374999999999979</v>
      </c>
      <c r="J172" s="101">
        <f t="shared" si="36"/>
        <v>4.7925019862899694</v>
      </c>
      <c r="K172" s="89">
        <f t="shared" si="32"/>
        <v>0.71829999999999927</v>
      </c>
      <c r="L172" s="101">
        <f t="shared" si="30"/>
        <v>69.233734939759103</v>
      </c>
      <c r="M172" s="114"/>
      <c r="N172" s="114"/>
      <c r="O172" s="89">
        <f t="shared" si="38"/>
        <v>47925.019862899695</v>
      </c>
      <c r="P172" s="89">
        <f t="shared" si="31"/>
        <v>33180.281221706879</v>
      </c>
      <c r="Q172" s="114">
        <f t="shared" si="39"/>
        <v>45587.070776245113</v>
      </c>
      <c r="R172" s="114"/>
      <c r="S172" s="114"/>
      <c r="T172" s="115">
        <f t="shared" si="40"/>
        <v>0.3800066202262985</v>
      </c>
      <c r="U172" s="115">
        <f t="shared" si="41"/>
        <v>3.9989381935634913</v>
      </c>
      <c r="V172" s="115">
        <f t="shared" si="42"/>
        <v>1.0431552340488703</v>
      </c>
    </row>
    <row r="173" spans="1:22" x14ac:dyDescent="0.25">
      <c r="C173" s="89">
        <v>84</v>
      </c>
      <c r="D173" s="89">
        <v>26.267700000000001</v>
      </c>
      <c r="E173" s="89">
        <v>45.262599999999999</v>
      </c>
      <c r="F173" s="89">
        <v>27.172499999999999</v>
      </c>
      <c r="G173" s="89">
        <v>26.534800000000001</v>
      </c>
      <c r="H173" s="89">
        <f t="shared" si="35"/>
        <v>18.994899999999998</v>
      </c>
      <c r="I173" s="89">
        <f t="shared" si="22"/>
        <v>0.90479999999999805</v>
      </c>
      <c r="J173" s="101">
        <f t="shared" si="36"/>
        <v>4.7633838556665111</v>
      </c>
      <c r="K173" s="89">
        <f t="shared" si="32"/>
        <v>0.63769999999999882</v>
      </c>
      <c r="L173" s="101">
        <f t="shared" si="30"/>
        <v>70.479664014146792</v>
      </c>
      <c r="M173" s="114"/>
      <c r="N173" s="114"/>
      <c r="O173" s="89">
        <f t="shared" si="38"/>
        <v>47633.838556665112</v>
      </c>
      <c r="P173" s="89">
        <f t="shared" si="31"/>
        <v>33572.169371778684</v>
      </c>
      <c r="Q173" s="114">
        <f t="shared" si="39"/>
        <v>42837.727823648427</v>
      </c>
      <c r="R173" s="114"/>
      <c r="S173" s="114"/>
      <c r="T173" s="115">
        <f t="shared" si="40"/>
        <v>0.42229955742090952</v>
      </c>
      <c r="U173" s="115">
        <f t="shared" si="41"/>
        <v>3.6476337866777584</v>
      </c>
      <c r="V173" s="115">
        <f t="shared" si="42"/>
        <v>1.5526418802048834</v>
      </c>
    </row>
    <row r="174" spans="1:22" x14ac:dyDescent="0.25">
      <c r="A174" s="94">
        <v>44449</v>
      </c>
      <c r="B174" s="89">
        <v>133</v>
      </c>
      <c r="C174" s="89">
        <v>87</v>
      </c>
      <c r="D174" s="89">
        <v>22.898900000000001</v>
      </c>
      <c r="E174" s="89">
        <v>45.261699999999998</v>
      </c>
      <c r="F174" s="89">
        <v>23.8203</v>
      </c>
      <c r="G174" s="89">
        <v>23.113600000000002</v>
      </c>
      <c r="H174" s="89">
        <f t="shared" si="35"/>
        <v>22.362799999999996</v>
      </c>
      <c r="I174" s="89">
        <f t="shared" si="22"/>
        <v>0.92139999999999844</v>
      </c>
      <c r="J174" s="101">
        <f t="shared" si="36"/>
        <v>4.1202353909170517</v>
      </c>
      <c r="K174" s="89">
        <f t="shared" si="32"/>
        <v>0.70669999999999789</v>
      </c>
      <c r="L174" s="101">
        <f t="shared" si="30"/>
        <v>76.698502279140328</v>
      </c>
      <c r="M174" s="114">
        <f t="shared" si="34"/>
        <v>4.0752160403114077</v>
      </c>
      <c r="N174" s="114">
        <f t="shared" si="37"/>
        <v>77.071212123595998</v>
      </c>
      <c r="O174" s="89">
        <f t="shared" si="38"/>
        <v>41202.353909170524</v>
      </c>
      <c r="P174" s="89">
        <f t="shared" si="31"/>
        <v>31601.588352084626</v>
      </c>
      <c r="Q174" s="114">
        <f t="shared" si="39"/>
        <v>40752.160403114081</v>
      </c>
      <c r="R174" s="114">
        <f t="shared" si="39"/>
        <v>31409.41591871042</v>
      </c>
      <c r="S174" s="114">
        <f t="shared" si="33"/>
        <v>31.409415918710419</v>
      </c>
      <c r="T174" s="115">
        <f t="shared" si="40"/>
        <v>9.3521609610206474E-2</v>
      </c>
      <c r="U174" s="115">
        <f t="shared" si="41"/>
        <v>0.48756112604333829</v>
      </c>
      <c r="V174" s="115">
        <f t="shared" si="42"/>
        <v>0.82186607991069205</v>
      </c>
    </row>
    <row r="175" spans="1:22" x14ac:dyDescent="0.25">
      <c r="C175" s="89" t="s">
        <v>163</v>
      </c>
      <c r="D175" s="89">
        <v>24.594100000000001</v>
      </c>
      <c r="E175" s="89">
        <v>45.906199999999998</v>
      </c>
      <c r="F175" s="89">
        <v>25.439699999999998</v>
      </c>
      <c r="G175" s="89">
        <v>24.7895</v>
      </c>
      <c r="H175" s="89">
        <f t="shared" si="35"/>
        <v>21.312099999999997</v>
      </c>
      <c r="I175" s="89">
        <f t="shared" si="22"/>
        <v>0.84559999999999746</v>
      </c>
      <c r="J175" s="101">
        <f t="shared" si="36"/>
        <v>3.9676991005109659</v>
      </c>
      <c r="K175" s="89">
        <f t="shared" si="32"/>
        <v>0.65019999999999811</v>
      </c>
      <c r="L175" s="101">
        <f t="shared" si="30"/>
        <v>76.892147587511843</v>
      </c>
      <c r="M175" s="114"/>
      <c r="N175" s="114"/>
      <c r="O175" s="89">
        <f t="shared" si="38"/>
        <v>39676.991005109659</v>
      </c>
      <c r="P175" s="89">
        <f t="shared" si="31"/>
        <v>30508.490481932717</v>
      </c>
      <c r="Q175" s="114">
        <f t="shared" si="39"/>
        <v>44820.381259799098</v>
      </c>
      <c r="R175" s="114"/>
      <c r="S175" s="114"/>
      <c r="T175" s="115">
        <f t="shared" si="40"/>
        <v>0.74846744615486471</v>
      </c>
      <c r="U175" s="115">
        <f t="shared" si="41"/>
        <v>3.0020727859910497</v>
      </c>
      <c r="V175" s="115">
        <f t="shared" si="42"/>
        <v>4.2291619241432636</v>
      </c>
    </row>
    <row r="176" spans="1:22" x14ac:dyDescent="0.25">
      <c r="C176" s="89" t="s">
        <v>164</v>
      </c>
      <c r="D176" s="89">
        <v>22.0428</v>
      </c>
      <c r="E176" s="89">
        <v>44.2483</v>
      </c>
      <c r="F176" s="89">
        <v>22.961600000000001</v>
      </c>
      <c r="G176" s="89">
        <v>22.2484</v>
      </c>
      <c r="H176" s="89">
        <f t="shared" si="35"/>
        <v>22.205500000000001</v>
      </c>
      <c r="I176" s="89">
        <f t="shared" si="22"/>
        <v>0.91880000000000095</v>
      </c>
      <c r="J176" s="101">
        <f t="shared" si="36"/>
        <v>4.1377136295062078</v>
      </c>
      <c r="K176" s="89">
        <f t="shared" si="32"/>
        <v>0.7132000000000005</v>
      </c>
      <c r="L176" s="101">
        <f t="shared" si="30"/>
        <v>77.62298650413581</v>
      </c>
      <c r="M176" s="114"/>
      <c r="N176" s="114"/>
      <c r="O176" s="89">
        <f t="shared" si="38"/>
        <v>41377.136295062075</v>
      </c>
      <c r="P176" s="89">
        <f t="shared" si="31"/>
        <v>32118.168922113917</v>
      </c>
      <c r="Q176" s="114">
        <f t="shared" si="39"/>
        <v>48295.115219944164</v>
      </c>
      <c r="R176" s="114"/>
      <c r="S176" s="114"/>
      <c r="T176" s="115">
        <f t="shared" si="40"/>
        <v>0.62149772092879707</v>
      </c>
      <c r="U176" s="115">
        <f t="shared" si="41"/>
        <v>3.3219156253425859</v>
      </c>
      <c r="V176" s="115">
        <f t="shared" si="42"/>
        <v>3.2115853575093656</v>
      </c>
    </row>
    <row r="177" spans="1:22" x14ac:dyDescent="0.25">
      <c r="A177" s="94">
        <v>44452</v>
      </c>
      <c r="B177" s="89">
        <v>136</v>
      </c>
      <c r="C177" s="89" t="s">
        <v>165</v>
      </c>
      <c r="D177" s="89">
        <v>25.650500000000001</v>
      </c>
      <c r="E177" s="89">
        <v>45.754600000000003</v>
      </c>
      <c r="F177" s="89">
        <v>26.7242</v>
      </c>
      <c r="G177" s="89">
        <v>25.950099999999999</v>
      </c>
      <c r="H177" s="89">
        <f t="shared" si="35"/>
        <v>20.104100000000003</v>
      </c>
      <c r="I177" s="89">
        <f t="shared" si="22"/>
        <v>1.0736999999999988</v>
      </c>
      <c r="J177" s="101">
        <f t="shared" si="36"/>
        <v>5.3407016479225566</v>
      </c>
      <c r="K177" s="89">
        <f t="shared" si="32"/>
        <v>0.77410000000000068</v>
      </c>
      <c r="L177" s="101">
        <f t="shared" si="30"/>
        <v>72.096488777125984</v>
      </c>
      <c r="M177" s="114">
        <f t="shared" si="34"/>
        <v>5.2811515002185958</v>
      </c>
      <c r="N177" s="114">
        <f t="shared" si="37"/>
        <v>72.159401800748526</v>
      </c>
      <c r="O177" s="89">
        <f t="shared" si="38"/>
        <v>53407.01647922556</v>
      </c>
      <c r="P177" s="89">
        <f t="shared" si="31"/>
        <v>38504.583642142672</v>
      </c>
      <c r="Q177" s="114">
        <f t="shared" si="39"/>
        <v>52811.515002185966</v>
      </c>
      <c r="R177" s="114">
        <f t="shared" si="39"/>
        <v>38116.724625577132</v>
      </c>
      <c r="S177" s="114">
        <f t="shared" si="33"/>
        <v>38.116724625577135</v>
      </c>
      <c r="T177" s="115">
        <f t="shared" si="40"/>
        <v>0.24670766427894694</v>
      </c>
      <c r="U177" s="115">
        <f t="shared" si="41"/>
        <v>0.52748827243361673</v>
      </c>
      <c r="V177" s="115">
        <f t="shared" si="42"/>
        <v>2.0449533795902366</v>
      </c>
    </row>
    <row r="178" spans="1:22" x14ac:dyDescent="0.25">
      <c r="C178" s="89">
        <v>25</v>
      </c>
      <c r="D178" s="89">
        <v>25.700099999999999</v>
      </c>
      <c r="E178" s="89">
        <v>46.699599999999997</v>
      </c>
      <c r="F178" s="89">
        <v>26.752199999999998</v>
      </c>
      <c r="G178" s="89">
        <v>25.998200000000001</v>
      </c>
      <c r="H178" s="89">
        <f t="shared" si="35"/>
        <v>20.999499999999998</v>
      </c>
      <c r="I178" s="89">
        <f t="shared" si="22"/>
        <v>1.0520999999999994</v>
      </c>
      <c r="J178" s="101">
        <f t="shared" si="36"/>
        <v>5.0101192885544865</v>
      </c>
      <c r="K178" s="89">
        <f t="shared" si="32"/>
        <v>0.75399999999999778</v>
      </c>
      <c r="L178" s="101">
        <f t="shared" si="30"/>
        <v>71.666191426670295</v>
      </c>
      <c r="M178" s="114"/>
      <c r="N178" s="114"/>
      <c r="O178" s="89">
        <f t="shared" si="38"/>
        <v>50101.192885544871</v>
      </c>
      <c r="P178" s="89">
        <f t="shared" si="31"/>
        <v>35905.616800399905</v>
      </c>
      <c r="Q178" s="114">
        <f t="shared" si="39"/>
        <v>49204.419044354094</v>
      </c>
      <c r="R178" s="114"/>
      <c r="S178" s="114"/>
      <c r="T178" s="115">
        <f t="shared" si="40"/>
        <v>0.62189868946863758</v>
      </c>
      <c r="U178" s="115">
        <f t="shared" si="41"/>
        <v>1.4278279448224096</v>
      </c>
      <c r="V178" s="115">
        <f t="shared" si="42"/>
        <v>4.1089620942906722</v>
      </c>
    </row>
    <row r="179" spans="1:22" x14ac:dyDescent="0.25">
      <c r="C179" s="89">
        <v>84</v>
      </c>
      <c r="D179" s="89">
        <v>26.278700000000001</v>
      </c>
      <c r="E179" s="89">
        <v>46.003300000000003</v>
      </c>
      <c r="F179" s="89">
        <v>27.362100000000002</v>
      </c>
      <c r="G179" s="89">
        <v>26.574300000000001</v>
      </c>
      <c r="H179" s="89">
        <f t="shared" si="35"/>
        <v>19.724600000000002</v>
      </c>
      <c r="I179" s="89">
        <f t="shared" si="22"/>
        <v>1.083400000000001</v>
      </c>
      <c r="J179" s="101">
        <f t="shared" si="36"/>
        <v>5.492633564178746</v>
      </c>
      <c r="K179" s="89">
        <f t="shared" si="32"/>
        <v>0.78780000000000072</v>
      </c>
      <c r="L179" s="101">
        <f t="shared" si="30"/>
        <v>72.715525198449328</v>
      </c>
      <c r="M179" s="114"/>
      <c r="N179" s="114"/>
      <c r="O179" s="89">
        <f t="shared" si="38"/>
        <v>54926.335641787453</v>
      </c>
      <c r="P179" s="89">
        <f t="shared" si="31"/>
        <v>39939.973434188811</v>
      </c>
      <c r="Q179" s="114">
        <f t="shared" si="39"/>
        <v>47011.766469869159</v>
      </c>
      <c r="R179" s="114"/>
      <c r="S179" s="114"/>
      <c r="T179" s="115">
        <f t="shared" si="40"/>
        <v>0.68702280543381167</v>
      </c>
      <c r="U179" s="115">
        <f t="shared" si="41"/>
        <v>1.1242769302507141</v>
      </c>
      <c r="V179" s="115">
        <f t="shared" si="42"/>
        <v>4.5233292662552396</v>
      </c>
    </row>
    <row r="180" spans="1:22" x14ac:dyDescent="0.25">
      <c r="A180" s="94">
        <v>44454</v>
      </c>
      <c r="B180" s="89">
        <v>138</v>
      </c>
      <c r="C180" s="89" t="s">
        <v>135</v>
      </c>
      <c r="D180" s="89">
        <v>24.6023</v>
      </c>
      <c r="E180" s="89">
        <v>46.050800000000002</v>
      </c>
      <c r="F180" s="89">
        <v>25.515699999999999</v>
      </c>
      <c r="G180" s="89">
        <v>24.8353</v>
      </c>
      <c r="H180" s="89">
        <f t="shared" si="35"/>
        <v>21.448500000000003</v>
      </c>
      <c r="I180" s="89">
        <f t="shared" si="22"/>
        <v>0.91339999999999932</v>
      </c>
      <c r="J180" s="101">
        <f t="shared" si="36"/>
        <v>4.2585728605729969</v>
      </c>
      <c r="K180" s="89">
        <f t="shared" si="32"/>
        <v>0.68039999999999878</v>
      </c>
      <c r="L180" s="101">
        <f t="shared" si="30"/>
        <v>74.490913072038452</v>
      </c>
      <c r="M180" s="114">
        <f t="shared" si="34"/>
        <v>4.2877566662804822</v>
      </c>
      <c r="N180" s="114">
        <f t="shared" si="37"/>
        <v>75.257046910015262</v>
      </c>
      <c r="O180" s="89">
        <f t="shared" si="38"/>
        <v>42585.728605729972</v>
      </c>
      <c r="P180" s="89">
        <f t="shared" si="31"/>
        <v>31722.498076788528</v>
      </c>
      <c r="Q180" s="114">
        <f t="shared" si="39"/>
        <v>42877.566662804828</v>
      </c>
      <c r="R180" s="114">
        <f t="shared" si="39"/>
        <v>32266.703440000307</v>
      </c>
      <c r="S180" s="114">
        <f t="shared" si="33"/>
        <v>32.266703440000306</v>
      </c>
      <c r="T180" s="115">
        <f t="shared" si="40"/>
        <v>5.6002376929967804E-2</v>
      </c>
      <c r="U180" s="115">
        <f t="shared" si="41"/>
        <v>1.0719277576691923</v>
      </c>
      <c r="V180" s="115">
        <f t="shared" si="42"/>
        <v>0.47156020805753718</v>
      </c>
    </row>
    <row r="181" spans="1:22" x14ac:dyDescent="0.25">
      <c r="C181" s="89">
        <v>83</v>
      </c>
      <c r="D181" s="89">
        <v>18.860499999999998</v>
      </c>
      <c r="E181" s="89">
        <v>39.3553</v>
      </c>
      <c r="F181" s="89">
        <v>19.752500000000001</v>
      </c>
      <c r="G181" s="89">
        <v>19.0853</v>
      </c>
      <c r="H181" s="89">
        <f t="shared" si="35"/>
        <v>20.494800000000001</v>
      </c>
      <c r="I181" s="89">
        <f t="shared" si="22"/>
        <v>0.89200000000000301</v>
      </c>
      <c r="J181" s="101">
        <f t="shared" si="36"/>
        <v>4.3523235162090046</v>
      </c>
      <c r="K181" s="89">
        <f t="shared" si="32"/>
        <v>0.66720000000000113</v>
      </c>
      <c r="L181" s="101">
        <f t="shared" si="30"/>
        <v>74.798206278026782</v>
      </c>
      <c r="M181" s="114"/>
      <c r="N181" s="114"/>
      <c r="O181" s="89">
        <f t="shared" si="38"/>
        <v>43523.235162090044</v>
      </c>
      <c r="P181" s="89">
        <f t="shared" si="31"/>
        <v>32554.599215410792</v>
      </c>
      <c r="Q181" s="114">
        <f t="shared" si="39"/>
        <v>43151.068024168868</v>
      </c>
      <c r="R181" s="114"/>
      <c r="S181" s="114"/>
      <c r="T181" s="115">
        <f t="shared" si="40"/>
        <v>5.4642592220825473E-2</v>
      </c>
      <c r="U181" s="115">
        <f t="shared" si="41"/>
        <v>0.8862490535162002</v>
      </c>
      <c r="V181" s="115">
        <f t="shared" si="42"/>
        <v>0.29016503721803361</v>
      </c>
    </row>
    <row r="182" spans="1:22" x14ac:dyDescent="0.25">
      <c r="C182" s="89" t="s">
        <v>134</v>
      </c>
      <c r="D182" s="89">
        <v>24.6386</v>
      </c>
      <c r="E182" s="89">
        <v>43.997199999999999</v>
      </c>
      <c r="F182" s="89">
        <v>25.4618</v>
      </c>
      <c r="G182" s="89">
        <v>24.8322</v>
      </c>
      <c r="H182" s="89">
        <f t="shared" si="35"/>
        <v>19.358599999999999</v>
      </c>
      <c r="I182" s="89">
        <f t="shared" si="22"/>
        <v>0.82319999999999993</v>
      </c>
      <c r="J182" s="101">
        <f t="shared" si="36"/>
        <v>4.2523736220594461</v>
      </c>
      <c r="K182" s="89">
        <f t="shared" si="32"/>
        <v>0.62959999999999994</v>
      </c>
      <c r="L182" s="101">
        <f t="shared" si="30"/>
        <v>76.482021379980552</v>
      </c>
      <c r="M182" s="114"/>
      <c r="N182" s="114"/>
      <c r="O182" s="89">
        <f t="shared" si="38"/>
        <v>42523.736220594466</v>
      </c>
      <c r="P182" s="89">
        <f t="shared" si="31"/>
        <v>32523.013027801597</v>
      </c>
      <c r="Q182" s="114">
        <f t="shared" si="39"/>
        <v>42415.393751054857</v>
      </c>
      <c r="R182" s="114"/>
      <c r="S182" s="114"/>
      <c r="T182" s="115">
        <f t="shared" si="40"/>
        <v>0.10492139108996713</v>
      </c>
      <c r="U182" s="115">
        <f t="shared" si="41"/>
        <v>0.20712663465448872</v>
      </c>
      <c r="V182" s="115">
        <f t="shared" si="42"/>
        <v>0.809775025896317</v>
      </c>
    </row>
    <row r="183" spans="1:22" x14ac:dyDescent="0.25">
      <c r="A183" s="94">
        <v>44456</v>
      </c>
      <c r="B183" s="89">
        <v>140</v>
      </c>
      <c r="C183" s="89" t="s">
        <v>142</v>
      </c>
      <c r="D183" s="89">
        <v>43.6753</v>
      </c>
      <c r="E183" s="89">
        <v>63.172499999999999</v>
      </c>
      <c r="F183" s="89">
        <v>44.521599999999999</v>
      </c>
      <c r="G183" s="89">
        <v>43.877400000000002</v>
      </c>
      <c r="H183" s="89">
        <f t="shared" si="35"/>
        <v>19.497199999999999</v>
      </c>
      <c r="I183" s="89">
        <f t="shared" si="22"/>
        <v>0.84629999999999939</v>
      </c>
      <c r="J183" s="101">
        <f t="shared" si="36"/>
        <v>4.3406232689822097</v>
      </c>
      <c r="K183" s="89">
        <f t="shared" si="32"/>
        <v>0.64419999999999789</v>
      </c>
      <c r="L183" s="101">
        <f t="shared" si="30"/>
        <v>76.119579345385603</v>
      </c>
      <c r="M183" s="114">
        <f t="shared" si="34"/>
        <v>4.1905683167717198</v>
      </c>
      <c r="N183" s="114">
        <f t="shared" si="37"/>
        <v>76.046779541472702</v>
      </c>
      <c r="O183" s="89">
        <f t="shared" si="38"/>
        <v>43406.2326898221</v>
      </c>
      <c r="P183" s="89">
        <f t="shared" si="31"/>
        <v>33040.64173317184</v>
      </c>
      <c r="Q183" s="114">
        <f t="shared" si="39"/>
        <v>41905.683167717194</v>
      </c>
      <c r="R183" s="114">
        <f t="shared" si="39"/>
        <v>31868.593790923274</v>
      </c>
      <c r="S183" s="114">
        <f t="shared" si="33"/>
        <v>31.868593790923274</v>
      </c>
      <c r="T183" s="115">
        <f t="shared" si="40"/>
        <v>0.13094252773934092</v>
      </c>
      <c r="U183" s="115">
        <f t="shared" si="41"/>
        <v>0.13263568719635424</v>
      </c>
      <c r="V183" s="115">
        <f t="shared" si="42"/>
        <v>1.0292028420944852</v>
      </c>
    </row>
    <row r="184" spans="1:22" x14ac:dyDescent="0.25">
      <c r="C184" s="89" t="s">
        <v>137</v>
      </c>
      <c r="D184" s="89">
        <v>41.497199999999999</v>
      </c>
      <c r="E184" s="89">
        <v>62.220300000000002</v>
      </c>
      <c r="F184" s="89">
        <v>42.353400000000001</v>
      </c>
      <c r="G184" s="89">
        <v>41.701599999999999</v>
      </c>
      <c r="H184" s="89">
        <f t="shared" si="35"/>
        <v>20.723100000000002</v>
      </c>
      <c r="I184" s="89">
        <f t="shared" si="22"/>
        <v>0.85620000000000118</v>
      </c>
      <c r="J184" s="101">
        <f t="shared" si="36"/>
        <v>4.1316212342748004</v>
      </c>
      <c r="K184" s="89">
        <f t="shared" si="32"/>
        <v>0.65180000000000149</v>
      </c>
      <c r="L184" s="101">
        <f t="shared" si="30"/>
        <v>76.127073113758541</v>
      </c>
      <c r="M184" s="114"/>
      <c r="N184" s="114"/>
      <c r="O184" s="89">
        <f t="shared" si="38"/>
        <v>41316.212342748004</v>
      </c>
      <c r="P184" s="89">
        <f t="shared" si="31"/>
        <v>31452.8231779995</v>
      </c>
      <c r="Q184" s="114">
        <f t="shared" si="39"/>
        <v>44376.067309997314</v>
      </c>
      <c r="R184" s="114"/>
      <c r="S184" s="114"/>
      <c r="T184" s="115">
        <f t="shared" si="40"/>
        <v>0.55806620772723725</v>
      </c>
      <c r="U184" s="115">
        <f t="shared" si="41"/>
        <v>2.2001302495008326</v>
      </c>
      <c r="V184" s="115">
        <f t="shared" si="42"/>
        <v>5.3591927126372267</v>
      </c>
    </row>
    <row r="185" spans="1:22" x14ac:dyDescent="0.25">
      <c r="C185" s="89" t="s">
        <v>31</v>
      </c>
      <c r="D185" s="89">
        <v>25.534600000000001</v>
      </c>
      <c r="E185" s="89">
        <v>46.552</v>
      </c>
      <c r="F185" s="89">
        <v>26.3962</v>
      </c>
      <c r="G185" s="89">
        <v>25.7423</v>
      </c>
      <c r="H185" s="89">
        <f t="shared" si="35"/>
        <v>21.017399999999999</v>
      </c>
      <c r="I185" s="89">
        <f t="shared" si="22"/>
        <v>0.86159999999999926</v>
      </c>
      <c r="J185" s="101">
        <f t="shared" si="36"/>
        <v>4.0994604470581484</v>
      </c>
      <c r="K185" s="89">
        <f t="shared" si="32"/>
        <v>0.65390000000000015</v>
      </c>
      <c r="L185" s="101">
        <f t="shared" si="30"/>
        <v>75.893686165273991</v>
      </c>
      <c r="M185" s="114"/>
      <c r="N185" s="114"/>
      <c r="O185" s="89">
        <f t="shared" si="38"/>
        <v>40994.604470581486</v>
      </c>
      <c r="P185" s="89">
        <f t="shared" si="31"/>
        <v>31112.316461598493</v>
      </c>
      <c r="Q185" s="114">
        <f t="shared" si="39"/>
        <v>43705.290509452338</v>
      </c>
      <c r="R185" s="114"/>
      <c r="S185" s="114"/>
      <c r="T185" s="115">
        <f t="shared" si="40"/>
        <v>0.6216997100236048</v>
      </c>
      <c r="U185" s="115">
        <f t="shared" si="41"/>
        <v>2.1174520250081761</v>
      </c>
      <c r="V185" s="115">
        <f t="shared" si="42"/>
        <v>5.7838178150324344</v>
      </c>
    </row>
    <row r="186" spans="1:22" x14ac:dyDescent="0.25">
      <c r="A186" s="94">
        <v>44459</v>
      </c>
      <c r="B186" s="89">
        <v>143</v>
      </c>
      <c r="C186" s="89">
        <v>3</v>
      </c>
      <c r="D186" s="89">
        <v>44.519599999999997</v>
      </c>
      <c r="E186" s="89">
        <v>65.880399999999995</v>
      </c>
      <c r="F186" s="89">
        <v>45.6051</v>
      </c>
      <c r="G186" s="89">
        <v>44.738700000000001</v>
      </c>
      <c r="H186" s="89">
        <f t="shared" si="35"/>
        <v>21.360799999999998</v>
      </c>
      <c r="I186" s="89">
        <f t="shared" si="22"/>
        <v>1.0855000000000032</v>
      </c>
      <c r="J186" s="101">
        <f t="shared" si="36"/>
        <v>5.0817385116662459</v>
      </c>
      <c r="K186" s="89">
        <f t="shared" si="32"/>
        <v>0.86639999999999873</v>
      </c>
      <c r="L186" s="101">
        <f t="shared" si="30"/>
        <v>79.815753109165939</v>
      </c>
      <c r="M186" s="114">
        <f t="shared" si="34"/>
        <v>4.3385119445106133</v>
      </c>
      <c r="N186" s="114">
        <f t="shared" si="37"/>
        <v>77.800493354505946</v>
      </c>
      <c r="O186" s="89">
        <f t="shared" si="38"/>
        <v>50817.385116662459</v>
      </c>
      <c r="P186" s="89">
        <f t="shared" si="31"/>
        <v>40560.278641249337</v>
      </c>
      <c r="Q186" s="114">
        <f t="shared" si="39"/>
        <v>43385.119445106124</v>
      </c>
      <c r="R186" s="114">
        <f t="shared" si="39"/>
        <v>33829.509397920432</v>
      </c>
      <c r="S186" s="114">
        <f t="shared" si="33"/>
        <v>33.829509397920432</v>
      </c>
      <c r="T186" s="115">
        <f t="shared" si="40"/>
        <v>0.64468776301553687</v>
      </c>
      <c r="U186" s="115">
        <f t="shared" si="41"/>
        <v>1.7746429392452658</v>
      </c>
      <c r="V186" s="115">
        <f t="shared" si="42"/>
        <v>5.843274121522354</v>
      </c>
    </row>
    <row r="187" spans="1:22" x14ac:dyDescent="0.25">
      <c r="C187" s="89">
        <v>83</v>
      </c>
      <c r="D187" s="89">
        <v>18.8583</v>
      </c>
      <c r="E187" s="89">
        <v>39.912199999999999</v>
      </c>
      <c r="F187" s="89">
        <v>19.6858</v>
      </c>
      <c r="G187" s="89">
        <v>19.053000000000001</v>
      </c>
      <c r="H187" s="89">
        <f t="shared" si="35"/>
        <v>21.053899999999999</v>
      </c>
      <c r="I187" s="89">
        <f t="shared" si="22"/>
        <v>0.82750000000000057</v>
      </c>
      <c r="J187" s="101">
        <f t="shared" si="36"/>
        <v>3.9303881941113077</v>
      </c>
      <c r="K187" s="89">
        <f t="shared" si="32"/>
        <v>0.63279999999999959</v>
      </c>
      <c r="L187" s="101">
        <f t="shared" si="30"/>
        <v>76.471299093655489</v>
      </c>
      <c r="M187" s="114"/>
      <c r="N187" s="114"/>
      <c r="O187" s="89">
        <f t="shared" si="38"/>
        <v>39303.881941113075</v>
      </c>
      <c r="P187" s="89">
        <f t="shared" si="31"/>
        <v>30056.18911460583</v>
      </c>
      <c r="Q187" s="114">
        <f t="shared" si="39"/>
        <v>43494.058613507252</v>
      </c>
      <c r="R187" s="114"/>
      <c r="S187" s="114"/>
      <c r="T187" s="115">
        <f t="shared" si="40"/>
        <v>0.66352715792362504</v>
      </c>
      <c r="U187" s="115">
        <f t="shared" si="41"/>
        <v>3.4997616134466591</v>
      </c>
      <c r="V187" s="115">
        <f t="shared" si="42"/>
        <v>6.8814731445887114</v>
      </c>
    </row>
    <row r="188" spans="1:22" x14ac:dyDescent="0.25">
      <c r="C188" s="89" t="s">
        <v>167</v>
      </c>
      <c r="D188" s="89">
        <v>25.650700000000001</v>
      </c>
      <c r="E188" s="89">
        <v>47.239800000000002</v>
      </c>
      <c r="F188" s="89">
        <v>26.515000000000001</v>
      </c>
      <c r="G188" s="89">
        <v>25.848500000000001</v>
      </c>
      <c r="H188" s="89">
        <f t="shared" si="35"/>
        <v>21.589100000000002</v>
      </c>
      <c r="I188" s="89">
        <f t="shared" si="22"/>
        <v>0.86430000000000007</v>
      </c>
      <c r="J188" s="101">
        <f t="shared" si="36"/>
        <v>4.003409127754284</v>
      </c>
      <c r="K188" s="89">
        <f t="shared" si="32"/>
        <v>0.6664999999999992</v>
      </c>
      <c r="L188" s="101">
        <f t="shared" si="30"/>
        <v>77.114427860696424</v>
      </c>
      <c r="M188" s="114"/>
      <c r="N188" s="114"/>
      <c r="O188" s="89">
        <f t="shared" si="38"/>
        <v>40034.091277542837</v>
      </c>
      <c r="P188" s="89">
        <f t="shared" si="31"/>
        <v>30872.060437906126</v>
      </c>
      <c r="Q188" s="114">
        <f t="shared" si="39"/>
        <v>47935.100716505716</v>
      </c>
      <c r="R188" s="114"/>
      <c r="S188" s="114"/>
      <c r="T188" s="115">
        <f t="shared" si="40"/>
        <v>0.68825243006270831</v>
      </c>
      <c r="U188" s="115">
        <f t="shared" si="41"/>
        <v>3.3758832792241318</v>
      </c>
      <c r="V188" s="115">
        <f t="shared" si="42"/>
        <v>7.0603994970593487</v>
      </c>
    </row>
    <row r="189" spans="1:22" x14ac:dyDescent="0.25">
      <c r="A189" s="94">
        <v>44461</v>
      </c>
      <c r="B189" s="89">
        <v>145</v>
      </c>
      <c r="C189" s="89" t="s">
        <v>40</v>
      </c>
      <c r="D189" s="89">
        <v>23.897300000000001</v>
      </c>
      <c r="E189" s="89">
        <v>43.5398</v>
      </c>
      <c r="F189" s="89">
        <v>24.901900000000001</v>
      </c>
      <c r="G189" s="89">
        <v>24.069800000000001</v>
      </c>
      <c r="H189" s="89">
        <f t="shared" si="35"/>
        <v>19.642499999999998</v>
      </c>
      <c r="I189" s="89">
        <f t="shared" si="22"/>
        <v>1.0045999999999999</v>
      </c>
      <c r="J189" s="101">
        <f t="shared" si="36"/>
        <v>5.1144202621865853</v>
      </c>
      <c r="K189" s="89">
        <f t="shared" si="32"/>
        <v>0.83210000000000051</v>
      </c>
      <c r="L189" s="101">
        <f t="shared" si="30"/>
        <v>82.828986661357803</v>
      </c>
      <c r="M189" s="114">
        <f t="shared" si="34"/>
        <v>5.1589002284195988</v>
      </c>
      <c r="N189" s="114">
        <f t="shared" si="37"/>
        <v>82.89980854806781</v>
      </c>
      <c r="O189" s="89">
        <f t="shared" si="38"/>
        <v>51144.20262186585</v>
      </c>
      <c r="P189" s="89">
        <f t="shared" si="31"/>
        <v>42362.224767723077</v>
      </c>
      <c r="Q189" s="114">
        <f t="shared" si="39"/>
        <v>51589.002284195994</v>
      </c>
      <c r="R189" s="114">
        <f t="shared" si="39"/>
        <v>42768.160442447748</v>
      </c>
      <c r="S189" s="114">
        <f t="shared" si="33"/>
        <v>42.768160442447751</v>
      </c>
      <c r="T189" s="115">
        <f t="shared" si="40"/>
        <v>9.0199690783524716E-2</v>
      </c>
      <c r="U189" s="115">
        <f t="shared" si="41"/>
        <v>0.1626003646515401</v>
      </c>
      <c r="V189" s="115">
        <f t="shared" si="42"/>
        <v>0.83233298047423798</v>
      </c>
    </row>
    <row r="190" spans="1:22" x14ac:dyDescent="0.25">
      <c r="C190" s="89" t="s">
        <v>163</v>
      </c>
      <c r="D190" s="89">
        <v>24.595700000000001</v>
      </c>
      <c r="E190" s="89">
        <v>45.322699999999998</v>
      </c>
      <c r="F190" s="89">
        <v>25.686499999999999</v>
      </c>
      <c r="G190" s="89">
        <v>24.780200000000001</v>
      </c>
      <c r="H190" s="89">
        <f t="shared" si="35"/>
        <v>20.726999999999997</v>
      </c>
      <c r="I190" s="89">
        <f t="shared" si="22"/>
        <v>1.090799999999998</v>
      </c>
      <c r="J190" s="101">
        <f t="shared" si="36"/>
        <v>5.262700825010846</v>
      </c>
      <c r="K190" s="89">
        <f t="shared" si="32"/>
        <v>0.90629999999999811</v>
      </c>
      <c r="L190" s="101">
        <f t="shared" si="30"/>
        <v>83.085808580858071</v>
      </c>
      <c r="M190" s="114"/>
      <c r="N190" s="114"/>
      <c r="O190" s="89">
        <f t="shared" si="38"/>
        <v>52627.008250108462</v>
      </c>
      <c r="P190" s="89">
        <f t="shared" si="31"/>
        <v>43725.575336517504</v>
      </c>
      <c r="Q190" s="114">
        <f t="shared" si="39"/>
        <v>48444.146196972659</v>
      </c>
      <c r="R190" s="114"/>
      <c r="S190" s="114"/>
      <c r="T190" s="115">
        <f t="shared" si="40"/>
        <v>0.5889011005831355</v>
      </c>
      <c r="U190" s="115">
        <f t="shared" si="41"/>
        <v>2.3038813998023069</v>
      </c>
      <c r="V190" s="115">
        <f t="shared" si="42"/>
        <v>5.845481742883031</v>
      </c>
    </row>
    <row r="191" spans="1:22" x14ac:dyDescent="0.25">
      <c r="C191" s="89" t="s">
        <v>134</v>
      </c>
      <c r="D191" s="89">
        <v>24.617899999999999</v>
      </c>
      <c r="E191" s="89">
        <v>46.715800000000002</v>
      </c>
      <c r="F191" s="89">
        <v>25.744800000000001</v>
      </c>
      <c r="G191" s="89">
        <v>24.811900000000001</v>
      </c>
      <c r="H191" s="89">
        <f t="shared" si="35"/>
        <v>22.097900000000003</v>
      </c>
      <c r="I191" s="89">
        <f t="shared" si="22"/>
        <v>1.1269000000000027</v>
      </c>
      <c r="J191" s="101">
        <f t="shared" si="36"/>
        <v>5.0995795980613661</v>
      </c>
      <c r="K191" s="89">
        <f t="shared" si="32"/>
        <v>0.93290000000000006</v>
      </c>
      <c r="L191" s="101">
        <f t="shared" si="30"/>
        <v>82.784630401987556</v>
      </c>
      <c r="M191" s="114"/>
      <c r="N191" s="114"/>
      <c r="O191" s="89">
        <f t="shared" si="38"/>
        <v>50995.795980613657</v>
      </c>
      <c r="P191" s="89">
        <f t="shared" ref="P191:P207" si="43">((F191-G191)/(H191))*1000000</f>
        <v>42216.681223102649</v>
      </c>
      <c r="Q191" s="114">
        <f t="shared" si="39"/>
        <v>44671.297362409183</v>
      </c>
      <c r="R191" s="114"/>
      <c r="S191" s="114"/>
      <c r="T191" s="115">
        <f t="shared" si="40"/>
        <v>0.54808481957872179</v>
      </c>
      <c r="U191" s="115">
        <f t="shared" si="41"/>
        <v>2.0675671941391753</v>
      </c>
      <c r="V191" s="115">
        <f t="shared" si="42"/>
        <v>5.3848280161934658</v>
      </c>
    </row>
    <row r="192" spans="1:22" x14ac:dyDescent="0.25">
      <c r="A192" s="94">
        <v>44463</v>
      </c>
      <c r="B192" s="89">
        <v>147</v>
      </c>
      <c r="C192" s="89" t="s">
        <v>166</v>
      </c>
      <c r="D192" s="89">
        <v>25.5229</v>
      </c>
      <c r="E192" s="89">
        <v>44.626399999999997</v>
      </c>
      <c r="F192" s="89">
        <v>26.319700000000001</v>
      </c>
      <c r="G192" s="89">
        <v>25.6906</v>
      </c>
      <c r="H192" s="89">
        <f t="shared" si="35"/>
        <v>19.103499999999997</v>
      </c>
      <c r="I192" s="89">
        <f t="shared" si="22"/>
        <v>0.79680000000000106</v>
      </c>
      <c r="J192" s="101">
        <f t="shared" si="36"/>
        <v>4.1709634360195844</v>
      </c>
      <c r="K192" s="89">
        <f t="shared" si="32"/>
        <v>0.6291000000000011</v>
      </c>
      <c r="L192" s="101">
        <f t="shared" si="30"/>
        <v>78.953313253012084</v>
      </c>
      <c r="M192" s="114">
        <f t="shared" si="34"/>
        <v>4.2816406193624497</v>
      </c>
      <c r="N192" s="114">
        <f t="shared" si="37"/>
        <v>79.632711539890465</v>
      </c>
      <c r="O192" s="89">
        <f t="shared" si="38"/>
        <v>41709.634360195843</v>
      </c>
      <c r="P192" s="89">
        <f t="shared" si="43"/>
        <v>32931.138273091383</v>
      </c>
      <c r="Q192" s="114">
        <f t="shared" si="39"/>
        <v>42816.406193624491</v>
      </c>
      <c r="R192" s="114">
        <f t="shared" si="39"/>
        <v>34105.819287591272</v>
      </c>
      <c r="S192" s="114">
        <f>((R192*1)/1000)</f>
        <v>34.105819287591274</v>
      </c>
      <c r="T192" s="115">
        <f t="shared" si="40"/>
        <v>0.22732775430366967</v>
      </c>
      <c r="U192" s="115">
        <f t="shared" si="41"/>
        <v>0.7411922756369097</v>
      </c>
      <c r="V192" s="115">
        <f t="shared" si="42"/>
        <v>2.105990012268339</v>
      </c>
    </row>
    <row r="193" spans="1:22" x14ac:dyDescent="0.25">
      <c r="C193" s="89" t="s">
        <v>134</v>
      </c>
      <c r="D193" s="89">
        <v>24.616199999999999</v>
      </c>
      <c r="E193" s="89">
        <v>44.960700000000003</v>
      </c>
      <c r="F193" s="89">
        <v>25.456600000000002</v>
      </c>
      <c r="G193" s="89">
        <v>24.7883</v>
      </c>
      <c r="H193" s="89">
        <f t="shared" si="35"/>
        <v>20.344500000000004</v>
      </c>
      <c r="I193" s="89">
        <f t="shared" si="22"/>
        <v>0.84040000000000248</v>
      </c>
      <c r="J193" s="101">
        <f t="shared" si="36"/>
        <v>4.1308461746418068</v>
      </c>
      <c r="K193" s="89">
        <f t="shared" si="32"/>
        <v>0.66830000000000211</v>
      </c>
      <c r="L193" s="101">
        <f t="shared" si="30"/>
        <v>79.521656354117113</v>
      </c>
      <c r="M193" s="114"/>
      <c r="N193" s="114"/>
      <c r="O193" s="89">
        <f t="shared" si="38"/>
        <v>41308.461746418063</v>
      </c>
      <c r="P193" s="89">
        <f t="shared" si="43"/>
        <v>32849.172995158493</v>
      </c>
      <c r="Q193" s="114">
        <f t="shared" si="39"/>
        <v>42556.434209623141</v>
      </c>
      <c r="R193" s="114"/>
      <c r="S193" s="114"/>
      <c r="T193" s="115">
        <f t="shared" si="40"/>
        <v>0.24967450997631974</v>
      </c>
      <c r="U193" s="115">
        <f t="shared" si="41"/>
        <v>0.82325380820843919</v>
      </c>
      <c r="V193" s="115">
        <f t="shared" si="42"/>
        <v>2.030480477652751</v>
      </c>
    </row>
    <row r="194" spans="1:22" x14ac:dyDescent="0.25">
      <c r="C194" s="89" t="s">
        <v>40</v>
      </c>
      <c r="D194" s="89">
        <v>23.899699999999999</v>
      </c>
      <c r="E194" s="89">
        <v>44.081899999999997</v>
      </c>
      <c r="F194" s="89">
        <v>24.816600000000001</v>
      </c>
      <c r="G194" s="89">
        <v>24.0792</v>
      </c>
      <c r="H194" s="89">
        <f t="shared" si="35"/>
        <v>20.182199999999998</v>
      </c>
      <c r="I194" s="89">
        <f t="shared" si="22"/>
        <v>0.91690000000000182</v>
      </c>
      <c r="J194" s="101">
        <f t="shared" si="36"/>
        <v>4.5431122474259586</v>
      </c>
      <c r="K194" s="89">
        <f t="shared" si="32"/>
        <v>0.73740000000000094</v>
      </c>
      <c r="L194" s="101">
        <f t="shared" si="30"/>
        <v>80.423165012542214</v>
      </c>
      <c r="M194" s="114"/>
      <c r="N194" s="114"/>
      <c r="O194" s="89">
        <f t="shared" si="38"/>
        <v>45431.122474259588</v>
      </c>
      <c r="P194" s="89">
        <f t="shared" si="43"/>
        <v>36537.14659452394</v>
      </c>
      <c r="Q194" s="114">
        <f t="shared" si="39"/>
        <v>42523.991627771233</v>
      </c>
      <c r="R194" s="114"/>
      <c r="S194" s="114"/>
      <c r="T194" s="115">
        <f t="shared" si="40"/>
        <v>0.25215780778914237</v>
      </c>
      <c r="U194" s="115">
        <f t="shared" si="41"/>
        <v>0.54311479263352613</v>
      </c>
      <c r="V194" s="115">
        <f t="shared" si="42"/>
        <v>1.8200427933090511</v>
      </c>
    </row>
    <row r="195" spans="1:22" x14ac:dyDescent="0.25">
      <c r="A195" s="94">
        <v>44466</v>
      </c>
      <c r="B195" s="89">
        <v>150</v>
      </c>
      <c r="C195" s="89" t="s">
        <v>31</v>
      </c>
      <c r="D195" s="89">
        <v>25.5397</v>
      </c>
      <c r="E195" s="89">
        <v>46.165300000000002</v>
      </c>
      <c r="F195" s="89">
        <v>26.383900000000001</v>
      </c>
      <c r="G195" s="89">
        <v>25.698699999999999</v>
      </c>
      <c r="H195" s="89">
        <f t="shared" si="35"/>
        <v>20.625600000000002</v>
      </c>
      <c r="I195" s="89">
        <f>(F195-D195)</f>
        <v>0.84420000000000073</v>
      </c>
      <c r="J195" s="101">
        <f t="shared" si="36"/>
        <v>4.0929718408191791</v>
      </c>
      <c r="K195" s="89">
        <f t="shared" si="32"/>
        <v>0.68520000000000181</v>
      </c>
      <c r="L195" s="101">
        <f t="shared" si="30"/>
        <v>81.165600568585788</v>
      </c>
      <c r="M195" s="114">
        <f t="shared" si="34"/>
        <v>4.2373369849250748</v>
      </c>
      <c r="N195" s="114">
        <f t="shared" si="37"/>
        <v>81.770386885446783</v>
      </c>
      <c r="O195" s="89">
        <f t="shared" si="38"/>
        <v>40929.718408191788</v>
      </c>
      <c r="P195" s="89">
        <f t="shared" si="43"/>
        <v>33220.851757039876</v>
      </c>
      <c r="Q195" s="114">
        <f t="shared" si="39"/>
        <v>42373.369849250746</v>
      </c>
      <c r="R195" s="114">
        <f t="shared" si="39"/>
        <v>34660.666326019855</v>
      </c>
      <c r="S195" s="114">
        <f t="shared" si="33"/>
        <v>34.660666326019857</v>
      </c>
      <c r="T195" s="115">
        <f t="shared" si="40"/>
        <v>0.22611468567802367</v>
      </c>
      <c r="U195" s="115">
        <f t="shared" si="41"/>
        <v>0.79023301927038037</v>
      </c>
      <c r="V195" s="115">
        <f t="shared" si="42"/>
        <v>2.1907788385489781</v>
      </c>
    </row>
    <row r="196" spans="1:22" x14ac:dyDescent="0.25">
      <c r="C196" s="89">
        <v>25</v>
      </c>
      <c r="D196" s="89">
        <v>25.701000000000001</v>
      </c>
      <c r="E196" s="89">
        <v>46.573999999999998</v>
      </c>
      <c r="F196" s="89">
        <v>26.561199999999999</v>
      </c>
      <c r="G196" s="89">
        <v>25.860299999999999</v>
      </c>
      <c r="H196" s="89">
        <f t="shared" si="35"/>
        <v>20.872999999999998</v>
      </c>
      <c r="I196" s="89">
        <f t="shared" si="22"/>
        <v>0.86019999999999897</v>
      </c>
      <c r="J196" s="101">
        <f t="shared" si="36"/>
        <v>4.1211134000862311</v>
      </c>
      <c r="K196" s="89">
        <f t="shared" si="32"/>
        <v>0.70090000000000074</v>
      </c>
      <c r="L196" s="101">
        <f t="shared" si="30"/>
        <v>81.481050918391247</v>
      </c>
      <c r="M196" s="114"/>
      <c r="N196" s="114"/>
      <c r="O196" s="89">
        <f t="shared" si="38"/>
        <v>41211.134000862316</v>
      </c>
      <c r="P196" s="89">
        <f t="shared" si="43"/>
        <v>33579.265079289071</v>
      </c>
      <c r="Q196" s="114">
        <f t="shared" si="39"/>
        <v>44074.940941983288</v>
      </c>
      <c r="R196" s="114"/>
      <c r="S196" s="114"/>
      <c r="T196" s="115">
        <f t="shared" si="40"/>
        <v>0.25356243764669434</v>
      </c>
      <c r="U196" s="115">
        <f t="shared" si="41"/>
        <v>0.64248076403036947</v>
      </c>
      <c r="V196" s="115">
        <f t="shared" si="42"/>
        <v>2.3450571226094983</v>
      </c>
    </row>
    <row r="197" spans="1:22" x14ac:dyDescent="0.25">
      <c r="C197" s="89">
        <v>6</v>
      </c>
      <c r="D197" s="89">
        <v>21.155999999999999</v>
      </c>
      <c r="E197" s="89">
        <v>41.765500000000003</v>
      </c>
      <c r="F197" s="89">
        <v>22.082999999999998</v>
      </c>
      <c r="G197" s="89">
        <v>21.316700000000001</v>
      </c>
      <c r="H197" s="89">
        <f t="shared" si="35"/>
        <v>20.609500000000004</v>
      </c>
      <c r="I197" s="89">
        <f t="shared" si="22"/>
        <v>0.9269999999999996</v>
      </c>
      <c r="J197" s="101">
        <f t="shared" si="36"/>
        <v>4.4979257138698143</v>
      </c>
      <c r="K197" s="89">
        <f t="shared" si="32"/>
        <v>0.76629999999999754</v>
      </c>
      <c r="L197" s="101">
        <f t="shared" si="30"/>
        <v>82.664509169363313</v>
      </c>
      <c r="M197" s="114"/>
      <c r="N197" s="114"/>
      <c r="O197" s="89">
        <f t="shared" si="38"/>
        <v>44979.257138698144</v>
      </c>
      <c r="P197" s="89">
        <f t="shared" si="43"/>
        <v>37181.882141730624</v>
      </c>
      <c r="Q197" s="114">
        <f t="shared" si="39"/>
        <v>45511.096908646599</v>
      </c>
      <c r="R197" s="114"/>
      <c r="S197" s="114"/>
      <c r="T197" s="115">
        <f t="shared" si="40"/>
        <v>5.2763868574354798E-2</v>
      </c>
      <c r="U197" s="115">
        <f t="shared" si="41"/>
        <v>0.29914245326474742</v>
      </c>
      <c r="V197" s="115">
        <f t="shared" si="42"/>
        <v>0.41879389996572575</v>
      </c>
    </row>
    <row r="198" spans="1:22" x14ac:dyDescent="0.25">
      <c r="A198" s="94">
        <v>44468</v>
      </c>
      <c r="B198" s="89">
        <v>152</v>
      </c>
      <c r="C198" s="89">
        <v>83</v>
      </c>
      <c r="D198" s="89">
        <v>18.859100000000002</v>
      </c>
      <c r="E198" s="89">
        <v>38.776800000000001</v>
      </c>
      <c r="F198" s="89">
        <v>19.776</v>
      </c>
      <c r="G198" s="89">
        <v>19.019500000000001</v>
      </c>
      <c r="H198" s="89">
        <f t="shared" si="35"/>
        <v>19.9177</v>
      </c>
      <c r="I198" s="89">
        <f t="shared" si="22"/>
        <v>0.91689999999999827</v>
      </c>
      <c r="J198" s="101">
        <f t="shared" si="36"/>
        <v>4.6034431686389405</v>
      </c>
      <c r="K198" s="89">
        <f t="shared" si="32"/>
        <v>0.75649999999999906</v>
      </c>
      <c r="L198" s="101">
        <f t="shared" si="30"/>
        <v>82.506271130984899</v>
      </c>
      <c r="M198" s="114">
        <f>AVERAGE(J198:J200)</f>
        <v>4.5912084851835298</v>
      </c>
      <c r="N198" s="114">
        <f t="shared" si="37"/>
        <v>82.517951911606986</v>
      </c>
      <c r="O198" s="89">
        <f t="shared" si="38"/>
        <v>46034.431686389406</v>
      </c>
      <c r="P198" s="89">
        <f t="shared" si="43"/>
        <v>37981.293020780467</v>
      </c>
      <c r="Q198" s="114">
        <f t="shared" si="39"/>
        <v>45912.084851835309</v>
      </c>
      <c r="R198" s="114">
        <f t="shared" si="39"/>
        <v>37886.672557337413</v>
      </c>
      <c r="S198" s="114">
        <f t="shared" ref="S198:S207" si="44">((R198*1)/1000)</f>
        <v>37.886672557337413</v>
      </c>
      <c r="T198" s="115">
        <f t="shared" si="40"/>
        <v>3.4783985980411242E-2</v>
      </c>
      <c r="U198" s="115">
        <f t="shared" si="41"/>
        <v>0.43819799157828826</v>
      </c>
      <c r="V198" s="115">
        <f t="shared" si="42"/>
        <v>0.48130037555409427</v>
      </c>
    </row>
    <row r="199" spans="1:22" x14ac:dyDescent="0.25">
      <c r="C199" s="89" t="s">
        <v>142</v>
      </c>
      <c r="D199" s="89">
        <v>43.676299999999998</v>
      </c>
      <c r="E199" s="89">
        <v>63.309600000000003</v>
      </c>
      <c r="F199" s="89">
        <v>44.57</v>
      </c>
      <c r="G199" s="89">
        <v>43.836399999999998</v>
      </c>
      <c r="H199" s="89">
        <f t="shared" si="35"/>
        <v>19.633300000000006</v>
      </c>
      <c r="I199" s="89">
        <f t="shared" si="22"/>
        <v>0.8937000000000026</v>
      </c>
      <c r="J199" s="101">
        <f t="shared" si="36"/>
        <v>4.5519601900852251</v>
      </c>
      <c r="K199" s="89">
        <f t="shared" si="32"/>
        <v>0.73360000000000269</v>
      </c>
      <c r="L199" s="101">
        <f t="shared" si="30"/>
        <v>82.085711088732296</v>
      </c>
      <c r="M199" s="114"/>
      <c r="N199" s="114"/>
      <c r="O199" s="89">
        <f t="shared" si="38"/>
        <v>45519.601900852249</v>
      </c>
      <c r="P199" s="89">
        <f t="shared" si="43"/>
        <v>37365.088905074663</v>
      </c>
      <c r="Q199" s="114">
        <f t="shared" si="39"/>
        <v>43032.587761852141</v>
      </c>
      <c r="R199" s="114"/>
      <c r="S199" s="114"/>
      <c r="T199" s="115">
        <f t="shared" si="40"/>
        <v>0.4892709983182264</v>
      </c>
      <c r="U199" s="115">
        <f t="shared" si="41"/>
        <v>7.1405924797514633</v>
      </c>
      <c r="V199" s="115">
        <f t="shared" si="42"/>
        <v>6.7112608237061497</v>
      </c>
    </row>
    <row r="200" spans="1:22" x14ac:dyDescent="0.25">
      <c r="C200" s="89" t="s">
        <v>85</v>
      </c>
      <c r="D200" s="89">
        <v>38.8264</v>
      </c>
      <c r="E200" s="89">
        <v>57.965800000000002</v>
      </c>
      <c r="F200" s="89">
        <v>39.710299999999997</v>
      </c>
      <c r="G200" s="89">
        <v>38.976999999999997</v>
      </c>
      <c r="H200" s="89">
        <f t="shared" si="35"/>
        <v>19.139400000000002</v>
      </c>
      <c r="I200" s="89">
        <f t="shared" si="22"/>
        <v>0.88389999999999702</v>
      </c>
      <c r="J200" s="101">
        <f t="shared" si="36"/>
        <v>4.6182220968264254</v>
      </c>
      <c r="K200" s="89">
        <f t="shared" si="32"/>
        <v>0.73329999999999984</v>
      </c>
      <c r="L200" s="101">
        <f t="shared" si="30"/>
        <v>82.961873515103775</v>
      </c>
      <c r="M200" s="114"/>
      <c r="N200" s="114"/>
      <c r="O200" s="89">
        <f t="shared" si="38"/>
        <v>46182.220968264257</v>
      </c>
      <c r="P200" s="89">
        <f t="shared" si="43"/>
        <v>38313.635746157124</v>
      </c>
      <c r="Q200" s="114">
        <f t="shared" si="39"/>
        <v>39920.992964059085</v>
      </c>
      <c r="R200" s="114"/>
      <c r="S200" s="114"/>
      <c r="T200" s="115">
        <f t="shared" si="40"/>
        <v>0.54560917116227237</v>
      </c>
      <c r="U200" s="115">
        <f t="shared" si="41"/>
        <v>7.2822355828253515</v>
      </c>
      <c r="V200" s="115">
        <f t="shared" si="42"/>
        <v>7.1866627206372442</v>
      </c>
    </row>
    <row r="201" spans="1:22" x14ac:dyDescent="0.25">
      <c r="A201" s="94">
        <v>44470</v>
      </c>
      <c r="B201" s="89">
        <v>154</v>
      </c>
      <c r="C201" s="89" t="s">
        <v>40</v>
      </c>
      <c r="D201" s="89">
        <v>23.904299999999999</v>
      </c>
      <c r="E201" s="89">
        <v>43.748699999999999</v>
      </c>
      <c r="F201" s="89">
        <v>24.6464</v>
      </c>
      <c r="G201" s="89">
        <v>24.125599999999999</v>
      </c>
      <c r="H201" s="89">
        <f t="shared" si="35"/>
        <v>19.8444</v>
      </c>
      <c r="I201" s="89">
        <f t="shared" si="22"/>
        <v>0.74210000000000065</v>
      </c>
      <c r="J201" s="101">
        <f t="shared" si="36"/>
        <v>3.7395940416439934</v>
      </c>
      <c r="K201" s="89">
        <f t="shared" si="32"/>
        <v>0.52080000000000126</v>
      </c>
      <c r="L201" s="101">
        <f t="shared" si="30"/>
        <v>70.179221129227969</v>
      </c>
      <c r="M201" s="114">
        <f t="shared" ref="M201:M207" si="45">AVERAGE(J201:J203)</f>
        <v>3.7889901909037889</v>
      </c>
      <c r="N201" s="114">
        <f t="shared" si="37"/>
        <v>71.161701034464116</v>
      </c>
      <c r="O201" s="89">
        <f t="shared" si="38"/>
        <v>37395.940416439931</v>
      </c>
      <c r="P201" s="89">
        <f t="shared" si="43"/>
        <v>26244.179718207717</v>
      </c>
      <c r="Q201" s="114">
        <f t="shared" si="39"/>
        <v>37889.901909037879</v>
      </c>
      <c r="R201" s="114">
        <f t="shared" si="39"/>
        <v>26980.200864656508</v>
      </c>
      <c r="S201" s="114">
        <f t="shared" si="44"/>
        <v>26.98020086465651</v>
      </c>
      <c r="T201" s="115">
        <f t="shared" si="40"/>
        <v>0.19983885529675371</v>
      </c>
      <c r="U201" s="115">
        <f t="shared" si="41"/>
        <v>1.412676387165513</v>
      </c>
      <c r="V201" s="115">
        <f t="shared" si="42"/>
        <v>1.9366817445069375</v>
      </c>
    </row>
    <row r="202" spans="1:22" x14ac:dyDescent="0.25">
      <c r="C202" s="89" t="s">
        <v>134</v>
      </c>
      <c r="D202" s="89">
        <v>24.629300000000001</v>
      </c>
      <c r="E202" s="89">
        <v>46.306899999999999</v>
      </c>
      <c r="F202" s="89">
        <v>25.413699999999999</v>
      </c>
      <c r="G202" s="89">
        <v>24.860499999999998</v>
      </c>
      <c r="H202" s="89">
        <f t="shared" si="35"/>
        <v>21.677599999999998</v>
      </c>
      <c r="I202" s="89">
        <f t="shared" si="22"/>
        <v>0.78439999999999799</v>
      </c>
      <c r="J202" s="101">
        <f t="shared" si="36"/>
        <v>3.6184817507473066</v>
      </c>
      <c r="K202" s="89">
        <f t="shared" si="32"/>
        <v>0.55320000000000036</v>
      </c>
      <c r="L202" s="101">
        <f t="shared" si="30"/>
        <v>70.525242223355662</v>
      </c>
      <c r="M202" s="114"/>
      <c r="N202" s="114"/>
      <c r="O202" s="89">
        <f t="shared" si="38"/>
        <v>36184.817507473068</v>
      </c>
      <c r="P202" s="89">
        <f t="shared" si="43"/>
        <v>25519.430195224581</v>
      </c>
      <c r="Q202" s="114">
        <f t="shared" si="39"/>
        <v>39815.455491589084</v>
      </c>
      <c r="R202" s="114"/>
      <c r="S202" s="114"/>
      <c r="T202" s="115">
        <f t="shared" si="40"/>
        <v>0.35019107129274407</v>
      </c>
      <c r="U202" s="115">
        <f t="shared" si="41"/>
        <v>1.6733355901978395</v>
      </c>
      <c r="V202" s="115">
        <f t="shared" si="42"/>
        <v>3.1822142033258873</v>
      </c>
    </row>
    <row r="203" spans="1:22" x14ac:dyDescent="0.25">
      <c r="C203" s="89" t="s">
        <v>33</v>
      </c>
      <c r="D203" s="89">
        <v>24.453299999999999</v>
      </c>
      <c r="E203" s="89">
        <v>45.274500000000003</v>
      </c>
      <c r="F203" s="89">
        <v>25.288</v>
      </c>
      <c r="G203" s="89">
        <v>24.680499999999999</v>
      </c>
      <c r="H203" s="89">
        <f t="shared" si="35"/>
        <v>20.821200000000005</v>
      </c>
      <c r="I203" s="89">
        <f t="shared" si="22"/>
        <v>0.83470000000000155</v>
      </c>
      <c r="J203" s="101">
        <f t="shared" si="36"/>
        <v>4.0088947803200652</v>
      </c>
      <c r="K203" s="89">
        <f t="shared" si="32"/>
        <v>0.60750000000000171</v>
      </c>
      <c r="L203" s="101">
        <f t="shared" si="30"/>
        <v>72.780639750808746</v>
      </c>
      <c r="M203" s="114"/>
      <c r="N203" s="114"/>
      <c r="O203" s="89">
        <f t="shared" si="38"/>
        <v>40088.947803200652</v>
      </c>
      <c r="P203" s="89">
        <f t="shared" si="43"/>
        <v>29176.99268053722</v>
      </c>
      <c r="Q203" s="114">
        <f t="shared" si="39"/>
        <v>43142.573800682083</v>
      </c>
      <c r="R203" s="114"/>
      <c r="S203" s="114"/>
      <c r="T203" s="115">
        <f t="shared" si="40"/>
        <v>0.3038723586886255</v>
      </c>
      <c r="U203" s="115">
        <f t="shared" si="41"/>
        <v>1.5218986448123504</v>
      </c>
      <c r="V203" s="115">
        <f t="shared" si="42"/>
        <v>2.9050355447668852</v>
      </c>
    </row>
    <row r="204" spans="1:22" x14ac:dyDescent="0.25">
      <c r="A204" s="94">
        <v>44473</v>
      </c>
      <c r="B204" s="89">
        <v>157</v>
      </c>
      <c r="C204" s="89" t="s">
        <v>136</v>
      </c>
      <c r="D204" s="89">
        <v>25.5444</v>
      </c>
      <c r="E204" s="89">
        <v>45.714599999999997</v>
      </c>
      <c r="F204" s="89">
        <v>26.415199999999999</v>
      </c>
      <c r="G204" s="89">
        <v>25.772600000000001</v>
      </c>
      <c r="H204" s="89">
        <f t="shared" si="35"/>
        <v>20.170199999999998</v>
      </c>
      <c r="I204" s="89">
        <f t="shared" si="22"/>
        <v>0.87079999999999913</v>
      </c>
      <c r="J204" s="101">
        <f t="shared" si="36"/>
        <v>4.3172601164093525</v>
      </c>
      <c r="K204" s="89">
        <f t="shared" si="32"/>
        <v>0.64259999999999806</v>
      </c>
      <c r="L204" s="101">
        <f t="shared" si="30"/>
        <v>73.794212218649363</v>
      </c>
      <c r="M204" s="114">
        <f t="shared" si="45"/>
        <v>6.1935697224864983</v>
      </c>
      <c r="N204" s="114">
        <f t="shared" si="37"/>
        <v>61.548838612209885</v>
      </c>
      <c r="O204" s="89">
        <f t="shared" si="38"/>
        <v>43172.601164093525</v>
      </c>
      <c r="P204" s="89">
        <f t="shared" si="43"/>
        <v>31858.880923342262</v>
      </c>
      <c r="Q204" s="114">
        <f t="shared" si="39"/>
        <v>61935.697224864991</v>
      </c>
      <c r="R204" s="114">
        <f t="shared" si="39"/>
        <v>33560.264624034833</v>
      </c>
      <c r="S204" s="114">
        <f t="shared" si="44"/>
        <v>33.560264624034836</v>
      </c>
      <c r="T204" s="115">
        <f t="shared" si="40"/>
        <v>2.9943560148408026</v>
      </c>
      <c r="U204" s="115">
        <f t="shared" si="41"/>
        <v>22.9446227821471</v>
      </c>
      <c r="V204" s="115">
        <f t="shared" si="42"/>
        <v>1.5800435462374389</v>
      </c>
    </row>
    <row r="205" spans="1:22" x14ac:dyDescent="0.25">
      <c r="C205" s="89">
        <v>83</v>
      </c>
      <c r="D205" s="89">
        <v>18.867000000000001</v>
      </c>
      <c r="E205" s="89">
        <v>40.584200000000003</v>
      </c>
      <c r="F205" s="89">
        <v>19.869599999999998</v>
      </c>
      <c r="G205" s="89">
        <v>19.1099</v>
      </c>
      <c r="H205" s="89">
        <f t="shared" si="35"/>
        <v>21.717200000000002</v>
      </c>
      <c r="I205" s="89">
        <f t="shared" si="22"/>
        <v>1.0025999999999975</v>
      </c>
      <c r="J205" s="101">
        <f t="shared" si="36"/>
        <v>4.616617243475206</v>
      </c>
      <c r="K205" s="89">
        <f t="shared" si="32"/>
        <v>0.75969999999999871</v>
      </c>
      <c r="L205" s="101">
        <f t="shared" si="30"/>
        <v>75.772990225413977</v>
      </c>
      <c r="M205" s="114"/>
      <c r="N205" s="114"/>
      <c r="O205" s="89">
        <f t="shared" si="38"/>
        <v>46166.172434752058</v>
      </c>
      <c r="P205" s="89">
        <f t="shared" si="43"/>
        <v>34981.489326432442</v>
      </c>
      <c r="Q205" s="114">
        <f t="shared" si="39"/>
        <v>55804.528235895443</v>
      </c>
      <c r="R205" s="114"/>
      <c r="S205" s="114"/>
      <c r="T205" s="115">
        <f t="shared" si="40"/>
        <v>3.6803663295789049</v>
      </c>
      <c r="U205" s="115">
        <f t="shared" si="41"/>
        <v>20.470037910562141</v>
      </c>
      <c r="V205" s="115">
        <f t="shared" si="42"/>
        <v>11.396418879825825</v>
      </c>
    </row>
    <row r="206" spans="1:22" x14ac:dyDescent="0.25">
      <c r="C206" s="89" t="s">
        <v>164</v>
      </c>
      <c r="D206" s="89">
        <v>20.901</v>
      </c>
      <c r="E206" s="89">
        <v>43.185000000000002</v>
      </c>
      <c r="F206" s="89">
        <v>23.050699999999999</v>
      </c>
      <c r="G206" s="89">
        <v>22.296600000000002</v>
      </c>
      <c r="H206" s="89">
        <f t="shared" si="35"/>
        <v>22.284000000000002</v>
      </c>
      <c r="I206" s="89">
        <f t="shared" si="22"/>
        <v>2.1496999999999993</v>
      </c>
      <c r="J206" s="101">
        <f t="shared" si="36"/>
        <v>9.6468318075749373</v>
      </c>
      <c r="K206" s="89">
        <f t="shared" si="32"/>
        <v>0.75409999999999755</v>
      </c>
      <c r="L206" s="101">
        <f t="shared" si="30"/>
        <v>35.079313392566306</v>
      </c>
      <c r="M206" s="114"/>
      <c r="N206" s="114"/>
      <c r="O206" s="89">
        <f t="shared" si="38"/>
        <v>96468.318075749383</v>
      </c>
      <c r="P206" s="89">
        <f t="shared" si="43"/>
        <v>33840.423622329807</v>
      </c>
      <c r="Q206" s="114">
        <f t="shared" si="39"/>
        <v>60623.706136467146</v>
      </c>
      <c r="R206" s="114"/>
      <c r="S206" s="114"/>
      <c r="T206" s="115">
        <f t="shared" si="40"/>
        <v>3.9288446443170328</v>
      </c>
      <c r="U206" s="115">
        <f t="shared" si="41"/>
        <v>17.468270987921819</v>
      </c>
      <c r="V206" s="115">
        <f t="shared" si="42"/>
        <v>13.536776199423988</v>
      </c>
    </row>
    <row r="207" spans="1:22" x14ac:dyDescent="0.25">
      <c r="A207" s="94">
        <v>44475</v>
      </c>
      <c r="B207" s="89">
        <v>159</v>
      </c>
      <c r="C207" s="89" t="s">
        <v>168</v>
      </c>
      <c r="D207" s="89">
        <v>25.6526</v>
      </c>
      <c r="E207" s="89">
        <v>45.310299999999998</v>
      </c>
      <c r="F207" s="89">
        <v>26.139700000000001</v>
      </c>
      <c r="G207" s="89">
        <v>25.8508</v>
      </c>
      <c r="H207" s="89">
        <f t="shared" si="35"/>
        <v>19.657699999999998</v>
      </c>
      <c r="I207" s="89">
        <f t="shared" si="22"/>
        <v>0.48710000000000164</v>
      </c>
      <c r="J207" s="101">
        <f t="shared" si="36"/>
        <v>2.4779094197184905</v>
      </c>
      <c r="K207" s="89">
        <f t="shared" si="32"/>
        <v>0.28890000000000171</v>
      </c>
      <c r="L207" s="101">
        <f t="shared" si="30"/>
        <v>59.310203243687276</v>
      </c>
      <c r="M207" s="114">
        <f t="shared" si="45"/>
        <v>3.9149924247071031</v>
      </c>
      <c r="N207" s="114">
        <f t="shared" si="37"/>
        <v>68.346640599786042</v>
      </c>
      <c r="O207" s="89">
        <f t="shared" si="38"/>
        <v>24779.094197184906</v>
      </c>
      <c r="P207" s="89">
        <f t="shared" si="43"/>
        <v>14696.531130295089</v>
      </c>
      <c r="Q207" s="114">
        <f t="shared" si="39"/>
        <v>24779.094197184906</v>
      </c>
      <c r="R207" s="114">
        <f t="shared" si="39"/>
        <v>14696.531130295089</v>
      </c>
      <c r="S207" s="114">
        <f t="shared" si="44"/>
        <v>14.696531130295089</v>
      </c>
      <c r="T207" s="115">
        <f t="shared" si="40"/>
        <v>1.8414884680740085</v>
      </c>
      <c r="U207" s="115">
        <f t="shared" si="41"/>
        <v>8.7321747385710093</v>
      </c>
      <c r="V207" s="115" t="e">
        <f t="shared" si="42"/>
        <v>#DIV/0!</v>
      </c>
    </row>
    <row r="208" spans="1:22" x14ac:dyDescent="0.25">
      <c r="C208" s="89">
        <v>3</v>
      </c>
      <c r="D208" s="89">
        <v>24.6</v>
      </c>
      <c r="E208" s="89">
        <v>51.609400000000001</v>
      </c>
      <c r="F208" s="89">
        <v>25.4849</v>
      </c>
      <c r="G208" s="89">
        <v>24.874400000000001</v>
      </c>
      <c r="H208" s="89">
        <f t="shared" si="35"/>
        <v>27.009399999999999</v>
      </c>
      <c r="I208" s="89">
        <f t="shared" si="22"/>
        <v>0.88489999999999824</v>
      </c>
      <c r="J208" s="101">
        <f t="shared" si="36"/>
        <v>3.2762667811946886</v>
      </c>
      <c r="K208" s="89">
        <f t="shared" si="32"/>
        <v>0.61049999999999827</v>
      </c>
      <c r="L208" s="101">
        <f t="shared" si="30"/>
        <v>68.990846423324612</v>
      </c>
      <c r="M208" s="114"/>
      <c r="N208" s="114"/>
      <c r="Q208" s="114" t="e">
        <f t="shared" si="39"/>
        <v>#DIV/0!</v>
      </c>
      <c r="R208" s="114" t="e">
        <f t="shared" si="39"/>
        <v>#DIV/0!</v>
      </c>
      <c r="S208" s="114"/>
      <c r="T208" s="115">
        <f t="shared" si="40"/>
        <v>1.9194656056461288</v>
      </c>
      <c r="U208" s="115">
        <f t="shared" si="41"/>
        <v>5.4786815196568943</v>
      </c>
      <c r="V208" s="115" t="e">
        <f t="shared" si="42"/>
        <v>#DIV/0!</v>
      </c>
    </row>
    <row r="209" spans="3:22" x14ac:dyDescent="0.25">
      <c r="C209" s="89" t="s">
        <v>169</v>
      </c>
      <c r="D209" s="89">
        <v>24.596</v>
      </c>
      <c r="E209" s="89">
        <v>42.859000000000002</v>
      </c>
      <c r="F209" s="89">
        <v>25.690100000000001</v>
      </c>
      <c r="G209" s="89">
        <v>24.8505</v>
      </c>
      <c r="H209" s="89">
        <f t="shared" si="35"/>
        <v>18.263000000000002</v>
      </c>
      <c r="I209" s="89">
        <f t="shared" si="22"/>
        <v>1.094100000000001</v>
      </c>
      <c r="J209" s="101">
        <f t="shared" si="36"/>
        <v>5.9908010732081305</v>
      </c>
      <c r="K209" s="89">
        <f t="shared" si="32"/>
        <v>0.83960000000000079</v>
      </c>
      <c r="L209" s="101">
        <f t="shared" si="30"/>
        <v>76.738872132346231</v>
      </c>
      <c r="M209" s="114"/>
      <c r="N209" s="114"/>
      <c r="Q209" s="114" t="e">
        <f t="shared" si="39"/>
        <v>#DIV/0!</v>
      </c>
      <c r="R209" s="114" t="e">
        <f t="shared" si="39"/>
        <v>#DIV/0!</v>
      </c>
      <c r="S209" s="114"/>
      <c r="T209" s="115" t="e">
        <f t="shared" si="40"/>
        <v>#DIV/0!</v>
      </c>
      <c r="U209" s="115" t="e">
        <f t="shared" si="41"/>
        <v>#DIV/0!</v>
      </c>
      <c r="V209" s="115" t="e">
        <f t="shared" si="42"/>
        <v>#DIV/0!</v>
      </c>
    </row>
    <row r="210" spans="3:22" x14ac:dyDescent="0.25">
      <c r="Q210" s="114" t="e">
        <f t="shared" si="39"/>
        <v>#DIV/0!</v>
      </c>
      <c r="R210" s="114" t="e">
        <f t="shared" si="39"/>
        <v>#DIV/0!</v>
      </c>
      <c r="S210" s="114"/>
      <c r="T210" s="115" t="e">
        <f t="shared" si="40"/>
        <v>#DIV/0!</v>
      </c>
      <c r="U210" s="115" t="e">
        <f t="shared" si="41"/>
        <v>#DIV/0!</v>
      </c>
      <c r="V210" s="115" t="e">
        <f t="shared" si="42"/>
        <v>#DIV/0!</v>
      </c>
    </row>
    <row r="211" spans="3:22" x14ac:dyDescent="0.25">
      <c r="Q211" s="114" t="e">
        <f t="shared" si="39"/>
        <v>#DIV/0!</v>
      </c>
      <c r="R211" s="114" t="e">
        <f t="shared" si="39"/>
        <v>#DIV/0!</v>
      </c>
      <c r="S211" s="114"/>
      <c r="T211" s="115" t="e">
        <f t="shared" si="40"/>
        <v>#DIV/0!</v>
      </c>
      <c r="U211" s="115" t="e">
        <f t="shared" si="41"/>
        <v>#DIV/0!</v>
      </c>
      <c r="V211" s="115" t="e">
        <f t="shared" si="42"/>
        <v>#DIV/0!</v>
      </c>
    </row>
    <row r="212" spans="3:22" x14ac:dyDescent="0.25">
      <c r="Q212" s="114" t="e">
        <f t="shared" si="39"/>
        <v>#DIV/0!</v>
      </c>
      <c r="R212" s="114" t="e">
        <f t="shared" si="39"/>
        <v>#DIV/0!</v>
      </c>
      <c r="S212" s="114"/>
      <c r="T212" s="115" t="e">
        <f t="shared" si="40"/>
        <v>#DIV/0!</v>
      </c>
      <c r="U212" s="115" t="e">
        <f t="shared" si="41"/>
        <v>#DIV/0!</v>
      </c>
      <c r="V212" s="115" t="e">
        <f t="shared" si="42"/>
        <v>#DIV/0!</v>
      </c>
    </row>
    <row r="213" spans="3:22" x14ac:dyDescent="0.25">
      <c r="Q213" s="114" t="e">
        <f t="shared" si="39"/>
        <v>#DIV/0!</v>
      </c>
      <c r="R213" s="114" t="e">
        <f t="shared" si="39"/>
        <v>#DIV/0!</v>
      </c>
      <c r="S213" s="114"/>
      <c r="T213" s="115" t="e">
        <f t="shared" si="40"/>
        <v>#DIV/0!</v>
      </c>
      <c r="U213" s="115" t="e">
        <f t="shared" si="41"/>
        <v>#DIV/0!</v>
      </c>
      <c r="V213" s="115" t="e">
        <f t="shared" si="42"/>
        <v>#DIV/0!</v>
      </c>
    </row>
    <row r="214" spans="3:22" x14ac:dyDescent="0.25">
      <c r="Q214" s="114" t="e">
        <f t="shared" si="39"/>
        <v>#DIV/0!</v>
      </c>
      <c r="R214" s="114" t="e">
        <f t="shared" si="39"/>
        <v>#DIV/0!</v>
      </c>
      <c r="S214" s="114"/>
      <c r="T214" s="115" t="e">
        <f t="shared" si="40"/>
        <v>#DIV/0!</v>
      </c>
      <c r="U214" s="115" t="e">
        <f t="shared" si="41"/>
        <v>#DIV/0!</v>
      </c>
      <c r="V214" s="115" t="e">
        <f t="shared" si="42"/>
        <v>#DIV/0!</v>
      </c>
    </row>
    <row r="215" spans="3:22" x14ac:dyDescent="0.25">
      <c r="Q215" s="114" t="e">
        <f t="shared" si="39"/>
        <v>#DIV/0!</v>
      </c>
      <c r="R215" s="114" t="e">
        <f t="shared" si="39"/>
        <v>#DIV/0!</v>
      </c>
      <c r="S215" s="114"/>
      <c r="T215" s="115" t="e">
        <f t="shared" si="40"/>
        <v>#DIV/0!</v>
      </c>
      <c r="U215" s="115" t="e">
        <f t="shared" si="41"/>
        <v>#DIV/0!</v>
      </c>
      <c r="V215" s="115" t="e">
        <f t="shared" si="42"/>
        <v>#DIV/0!</v>
      </c>
    </row>
    <row r="216" spans="3:22" x14ac:dyDescent="0.25">
      <c r="Q216" s="114" t="e">
        <f t="shared" si="39"/>
        <v>#DIV/0!</v>
      </c>
      <c r="R216" s="114" t="e">
        <f t="shared" si="39"/>
        <v>#DIV/0!</v>
      </c>
      <c r="S216" s="114"/>
      <c r="T216" s="115" t="e">
        <f t="shared" si="40"/>
        <v>#DIV/0!</v>
      </c>
      <c r="U216" s="115" t="e">
        <f t="shared" si="41"/>
        <v>#DIV/0!</v>
      </c>
      <c r="V216" s="115" t="e">
        <f t="shared" si="42"/>
        <v>#DIV/0!</v>
      </c>
    </row>
    <row r="217" spans="3:22" x14ac:dyDescent="0.25">
      <c r="Q217" s="114" t="e">
        <f t="shared" si="39"/>
        <v>#DIV/0!</v>
      </c>
      <c r="R217" s="114" t="e">
        <f t="shared" si="39"/>
        <v>#DIV/0!</v>
      </c>
      <c r="S217" s="114"/>
      <c r="T217" s="115" t="e">
        <f t="shared" si="40"/>
        <v>#DIV/0!</v>
      </c>
      <c r="U217" s="115" t="e">
        <f t="shared" si="41"/>
        <v>#DIV/0!</v>
      </c>
      <c r="V217" s="115" t="e">
        <f t="shared" si="42"/>
        <v>#DIV/0!</v>
      </c>
    </row>
    <row r="218" spans="3:22" x14ac:dyDescent="0.25">
      <c r="Q218" s="114" t="e">
        <f t="shared" si="39"/>
        <v>#DIV/0!</v>
      </c>
      <c r="R218" s="114" t="e">
        <f t="shared" si="39"/>
        <v>#DIV/0!</v>
      </c>
      <c r="S218" s="114"/>
      <c r="T218" s="115" t="e">
        <f t="shared" si="40"/>
        <v>#DIV/0!</v>
      </c>
      <c r="U218" s="115" t="e">
        <f t="shared" si="41"/>
        <v>#DIV/0!</v>
      </c>
      <c r="V218" s="115" t="e">
        <f t="shared" si="42"/>
        <v>#DIV/0!</v>
      </c>
    </row>
    <row r="219" spans="3:22" x14ac:dyDescent="0.25">
      <c r="Q219" s="114" t="e">
        <f t="shared" si="39"/>
        <v>#DIV/0!</v>
      </c>
      <c r="R219" s="114" t="e">
        <f t="shared" si="39"/>
        <v>#DIV/0!</v>
      </c>
      <c r="S219" s="114"/>
      <c r="T219" s="115" t="e">
        <f t="shared" si="40"/>
        <v>#DIV/0!</v>
      </c>
      <c r="U219" s="115" t="e">
        <f t="shared" si="41"/>
        <v>#DIV/0!</v>
      </c>
      <c r="V219" s="115" t="e">
        <f t="shared" si="42"/>
        <v>#DIV/0!</v>
      </c>
    </row>
    <row r="220" spans="3:22" x14ac:dyDescent="0.25">
      <c r="Q220" s="114" t="e">
        <f t="shared" si="39"/>
        <v>#DIV/0!</v>
      </c>
      <c r="R220" s="114" t="e">
        <f t="shared" si="39"/>
        <v>#DIV/0!</v>
      </c>
      <c r="S220" s="114"/>
      <c r="T220" s="115" t="e">
        <f t="shared" si="40"/>
        <v>#DIV/0!</v>
      </c>
      <c r="U220" s="115" t="e">
        <f t="shared" si="41"/>
        <v>#DIV/0!</v>
      </c>
      <c r="V220" s="115" t="e">
        <f t="shared" si="42"/>
        <v>#DIV/0!</v>
      </c>
    </row>
    <row r="221" spans="3:22" x14ac:dyDescent="0.25">
      <c r="Q221" s="114" t="e">
        <f t="shared" si="39"/>
        <v>#DIV/0!</v>
      </c>
      <c r="R221" s="114" t="e">
        <f t="shared" si="39"/>
        <v>#DIV/0!</v>
      </c>
      <c r="S221" s="114"/>
      <c r="T221" s="115" t="e">
        <f t="shared" si="40"/>
        <v>#DIV/0!</v>
      </c>
      <c r="U221" s="115" t="e">
        <f t="shared" si="41"/>
        <v>#DIV/0!</v>
      </c>
      <c r="V221" s="115" t="e">
        <f t="shared" si="42"/>
        <v>#DIV/0!</v>
      </c>
    </row>
    <row r="222" spans="3:22" x14ac:dyDescent="0.25">
      <c r="Q222" s="114" t="e">
        <f t="shared" si="39"/>
        <v>#DIV/0!</v>
      </c>
      <c r="R222" s="114" t="e">
        <f t="shared" si="39"/>
        <v>#DIV/0!</v>
      </c>
      <c r="S222" s="114"/>
      <c r="T222" s="115" t="e">
        <f t="shared" si="40"/>
        <v>#DIV/0!</v>
      </c>
      <c r="U222" s="115" t="e">
        <f t="shared" si="41"/>
        <v>#DIV/0!</v>
      </c>
      <c r="V222" s="115" t="e">
        <f t="shared" si="42"/>
        <v>#DIV/0!</v>
      </c>
    </row>
    <row r="223" spans="3:22" x14ac:dyDescent="0.25">
      <c r="Q223" s="114" t="e">
        <f t="shared" si="39"/>
        <v>#DIV/0!</v>
      </c>
      <c r="R223" s="114" t="e">
        <f t="shared" si="39"/>
        <v>#DIV/0!</v>
      </c>
      <c r="S223" s="114"/>
      <c r="T223" s="115" t="e">
        <f t="shared" si="40"/>
        <v>#DIV/0!</v>
      </c>
      <c r="U223" s="115" t="e">
        <f t="shared" si="41"/>
        <v>#DIV/0!</v>
      </c>
      <c r="V223" s="115" t="e">
        <f t="shared" si="42"/>
        <v>#DIV/0!</v>
      </c>
    </row>
    <row r="224" spans="3:22" x14ac:dyDescent="0.25">
      <c r="Q224" s="114" t="e">
        <f t="shared" si="39"/>
        <v>#DIV/0!</v>
      </c>
      <c r="R224" s="114" t="e">
        <f t="shared" si="39"/>
        <v>#DIV/0!</v>
      </c>
      <c r="S224" s="114"/>
      <c r="T224" s="115" t="e">
        <f t="shared" si="40"/>
        <v>#DIV/0!</v>
      </c>
      <c r="U224" s="115" t="e">
        <f t="shared" si="41"/>
        <v>#DIV/0!</v>
      </c>
      <c r="V224" s="115" t="e">
        <f t="shared" si="42"/>
        <v>#DIV/0!</v>
      </c>
    </row>
    <row r="225" spans="17:22" x14ac:dyDescent="0.25">
      <c r="Q225" s="114" t="e">
        <f t="shared" si="39"/>
        <v>#DIV/0!</v>
      </c>
      <c r="R225" s="114" t="e">
        <f t="shared" si="39"/>
        <v>#DIV/0!</v>
      </c>
      <c r="S225" s="114"/>
      <c r="T225" s="115" t="e">
        <f t="shared" si="40"/>
        <v>#DIV/0!</v>
      </c>
      <c r="U225" s="115" t="e">
        <f t="shared" si="41"/>
        <v>#DIV/0!</v>
      </c>
      <c r="V225" s="115" t="e">
        <f t="shared" si="42"/>
        <v>#DIV/0!</v>
      </c>
    </row>
    <row r="226" spans="17:22" x14ac:dyDescent="0.25">
      <c r="Q226" s="114" t="e">
        <f t="shared" si="39"/>
        <v>#DIV/0!</v>
      </c>
      <c r="R226" s="114" t="e">
        <f t="shared" si="39"/>
        <v>#DIV/0!</v>
      </c>
      <c r="S226" s="114"/>
      <c r="T226" s="115" t="e">
        <f t="shared" si="40"/>
        <v>#DIV/0!</v>
      </c>
      <c r="U226" s="115" t="e">
        <f t="shared" si="41"/>
        <v>#DIV/0!</v>
      </c>
      <c r="V226" s="115" t="e">
        <f t="shared" si="42"/>
        <v>#DIV/0!</v>
      </c>
    </row>
    <row r="227" spans="17:22" x14ac:dyDescent="0.25">
      <c r="R227" s="114" t="e">
        <f>AVERAGE(P227:P229)</f>
        <v>#DIV/0!</v>
      </c>
      <c r="S227" s="114"/>
      <c r="T227" s="115" t="e">
        <f t="shared" si="40"/>
        <v>#DIV/0!</v>
      </c>
      <c r="U227" s="115" t="e">
        <f t="shared" si="41"/>
        <v>#DIV/0!</v>
      </c>
      <c r="V227" s="115" t="e">
        <f t="shared" si="42"/>
        <v>#DIV/0!</v>
      </c>
    </row>
    <row r="228" spans="17:22" x14ac:dyDescent="0.25">
      <c r="R228" s="114" t="e">
        <f>AVERAGE(P228:P230)</f>
        <v>#DIV/0!</v>
      </c>
      <c r="S228" s="114"/>
      <c r="T228" s="115" t="e">
        <f t="shared" si="40"/>
        <v>#DIV/0!</v>
      </c>
      <c r="V228" s="115" t="e">
        <f t="shared" si="42"/>
        <v>#DIV/0!</v>
      </c>
    </row>
    <row r="229" spans="17:22" x14ac:dyDescent="0.25">
      <c r="R229" s="114" t="e">
        <f>AVERAGE(P229:P231)</f>
        <v>#DIV/0!</v>
      </c>
      <c r="S229" s="114"/>
      <c r="T229" s="115" t="e">
        <f t="shared" si="40"/>
        <v>#DIV/0!</v>
      </c>
      <c r="V229" s="115" t="e">
        <f t="shared" si="42"/>
        <v>#DIV/0!</v>
      </c>
    </row>
  </sheetData>
  <mergeCells count="21"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T1:T2"/>
    <mergeCell ref="U1:U2"/>
    <mergeCell ref="V1:V2"/>
    <mergeCell ref="M1:M2"/>
    <mergeCell ref="N1:N2"/>
    <mergeCell ref="O1:O2"/>
    <mergeCell ref="P1:P2"/>
    <mergeCell ref="Q1:Q2"/>
    <mergeCell ref="R1:R2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62"/>
  <sheetViews>
    <sheetView zoomScale="91" workbookViewId="0">
      <selection activeCell="J23" sqref="J23"/>
    </sheetView>
  </sheetViews>
  <sheetFormatPr baseColWidth="10" defaultRowHeight="15" x14ac:dyDescent="0.2"/>
  <sheetData>
    <row r="1" spans="1:20" x14ac:dyDescent="0.2">
      <c r="E1" t="s">
        <v>118</v>
      </c>
      <c r="F1" t="s">
        <v>64</v>
      </c>
      <c r="G1" t="s">
        <v>56</v>
      </c>
    </row>
    <row r="2" spans="1:20" x14ac:dyDescent="0.2">
      <c r="E2">
        <v>0</v>
      </c>
      <c r="F2">
        <v>0</v>
      </c>
      <c r="G2">
        <v>0</v>
      </c>
      <c r="H2">
        <f>AVERAGE(F2:G2)</f>
        <v>0</v>
      </c>
    </row>
    <row r="3" spans="1:20" x14ac:dyDescent="0.2">
      <c r="E3">
        <v>1</v>
      </c>
      <c r="F3">
        <v>0</v>
      </c>
      <c r="G3">
        <v>0</v>
      </c>
      <c r="H3">
        <f t="shared" ref="H3:H66" si="0">AVERAGE(F3:G3)</f>
        <v>0</v>
      </c>
      <c r="R3" s="13"/>
    </row>
    <row r="4" spans="1:20" x14ac:dyDescent="0.2">
      <c r="A4">
        <v>9.1409322885268587</v>
      </c>
      <c r="B4">
        <f>SUM(A4,A5)</f>
        <v>22.417677928643421</v>
      </c>
      <c r="E4">
        <v>2</v>
      </c>
      <c r="F4">
        <v>0</v>
      </c>
      <c r="G4">
        <v>0</v>
      </c>
      <c r="H4">
        <f t="shared" si="0"/>
        <v>0</v>
      </c>
      <c r="Q4" t="s">
        <v>118</v>
      </c>
      <c r="R4" s="13"/>
    </row>
    <row r="5" spans="1:20" x14ac:dyDescent="0.2">
      <c r="A5">
        <v>13.276745640116562</v>
      </c>
      <c r="B5">
        <f>SUM(A5,A6)</f>
        <v>35.831506038555631</v>
      </c>
      <c r="E5">
        <v>3</v>
      </c>
      <c r="F5">
        <v>0</v>
      </c>
      <c r="G5">
        <v>0</v>
      </c>
      <c r="H5">
        <f t="shared" si="0"/>
        <v>0</v>
      </c>
      <c r="Q5">
        <v>0</v>
      </c>
      <c r="R5" s="13">
        <v>0</v>
      </c>
      <c r="S5" t="s">
        <v>118</v>
      </c>
    </row>
    <row r="6" spans="1:20" x14ac:dyDescent="0.2">
      <c r="A6">
        <v>22.554760398439065</v>
      </c>
      <c r="B6">
        <f t="shared" ref="B6:B34" si="1">SUM(A6,A7)</f>
        <v>53.433915726349205</v>
      </c>
      <c r="E6">
        <v>4</v>
      </c>
      <c r="F6">
        <v>0</v>
      </c>
      <c r="G6">
        <v>0</v>
      </c>
      <c r="H6">
        <f t="shared" si="0"/>
        <v>0</v>
      </c>
      <c r="Q6">
        <v>1</v>
      </c>
      <c r="R6" s="13"/>
      <c r="S6">
        <v>0</v>
      </c>
      <c r="T6">
        <v>0</v>
      </c>
    </row>
    <row r="7" spans="1:20" x14ac:dyDescent="0.2">
      <c r="A7">
        <v>30.879155327910141</v>
      </c>
      <c r="B7">
        <f t="shared" si="1"/>
        <v>68.582051069137009</v>
      </c>
      <c r="E7">
        <v>5</v>
      </c>
      <c r="F7">
        <v>0</v>
      </c>
      <c r="G7">
        <v>0</v>
      </c>
      <c r="H7">
        <f t="shared" si="0"/>
        <v>0</v>
      </c>
      <c r="Q7">
        <v>2</v>
      </c>
      <c r="R7" s="13"/>
      <c r="S7">
        <v>1</v>
      </c>
      <c r="T7">
        <v>0</v>
      </c>
    </row>
    <row r="8" spans="1:20" x14ac:dyDescent="0.2">
      <c r="A8">
        <v>37.702895741226868</v>
      </c>
      <c r="B8">
        <f t="shared" si="1"/>
        <v>82.839072711879822</v>
      </c>
      <c r="E8">
        <v>6</v>
      </c>
      <c r="F8">
        <v>0</v>
      </c>
      <c r="G8">
        <v>0</v>
      </c>
      <c r="H8">
        <f t="shared" si="0"/>
        <v>0</v>
      </c>
      <c r="Q8">
        <v>3</v>
      </c>
      <c r="R8" s="13"/>
      <c r="S8">
        <v>2</v>
      </c>
      <c r="T8">
        <v>0</v>
      </c>
    </row>
    <row r="9" spans="1:20" x14ac:dyDescent="0.2">
      <c r="A9">
        <v>45.136176970652947</v>
      </c>
      <c r="B9">
        <f t="shared" si="1"/>
        <v>99.671683490191327</v>
      </c>
      <c r="E9">
        <v>7</v>
      </c>
      <c r="F9">
        <v>0</v>
      </c>
      <c r="G9">
        <v>0</v>
      </c>
      <c r="H9">
        <f t="shared" si="0"/>
        <v>0</v>
      </c>
      <c r="I9">
        <f>SUM(F2:F158)</f>
        <v>879.6</v>
      </c>
      <c r="Q9">
        <v>4</v>
      </c>
      <c r="R9" s="13"/>
      <c r="S9">
        <v>3</v>
      </c>
      <c r="T9">
        <v>0</v>
      </c>
    </row>
    <row r="10" spans="1:20" x14ac:dyDescent="0.2">
      <c r="A10">
        <v>54.535506519538373</v>
      </c>
      <c r="B10">
        <f t="shared" si="1"/>
        <v>120.76742855193226</v>
      </c>
      <c r="E10">
        <v>8</v>
      </c>
      <c r="F10">
        <v>0</v>
      </c>
      <c r="G10">
        <v>0</v>
      </c>
      <c r="H10">
        <f t="shared" si="0"/>
        <v>0</v>
      </c>
      <c r="Q10">
        <v>5</v>
      </c>
      <c r="R10" s="13"/>
      <c r="S10">
        <v>4</v>
      </c>
      <c r="T10">
        <v>0</v>
      </c>
    </row>
    <row r="11" spans="1:20" x14ac:dyDescent="0.2">
      <c r="A11">
        <v>66.231922032393882</v>
      </c>
      <c r="B11">
        <f t="shared" si="1"/>
        <v>144.54315776678834</v>
      </c>
      <c r="E11">
        <v>9</v>
      </c>
      <c r="F11">
        <v>0</v>
      </c>
      <c r="G11">
        <v>0</v>
      </c>
      <c r="H11">
        <f t="shared" si="0"/>
        <v>0</v>
      </c>
      <c r="Q11">
        <v>6</v>
      </c>
      <c r="R11" s="13"/>
      <c r="S11">
        <v>5</v>
      </c>
      <c r="T11">
        <v>0</v>
      </c>
    </row>
    <row r="12" spans="1:20" x14ac:dyDescent="0.2">
      <c r="A12">
        <v>78.311235734394444</v>
      </c>
      <c r="B12">
        <f t="shared" si="1"/>
        <v>169.70965233659538</v>
      </c>
      <c r="E12">
        <v>10</v>
      </c>
      <c r="F12">
        <v>0</v>
      </c>
      <c r="G12">
        <v>0</v>
      </c>
      <c r="H12">
        <f t="shared" si="0"/>
        <v>0</v>
      </c>
      <c r="Q12">
        <v>7</v>
      </c>
      <c r="R12" s="13"/>
      <c r="S12">
        <v>6</v>
      </c>
      <c r="T12">
        <v>0</v>
      </c>
    </row>
    <row r="13" spans="1:20" x14ac:dyDescent="0.2">
      <c r="A13">
        <v>91.398416602200939</v>
      </c>
      <c r="B13">
        <f t="shared" si="1"/>
        <v>197.27853172871761</v>
      </c>
      <c r="E13">
        <v>11</v>
      </c>
      <c r="F13">
        <v>0</v>
      </c>
      <c r="G13">
        <v>0</v>
      </c>
      <c r="H13">
        <f t="shared" si="0"/>
        <v>0</v>
      </c>
      <c r="Q13">
        <v>8</v>
      </c>
      <c r="R13" s="13"/>
      <c r="S13">
        <v>7</v>
      </c>
      <c r="T13">
        <v>0</v>
      </c>
    </row>
    <row r="14" spans="1:20" x14ac:dyDescent="0.2">
      <c r="A14">
        <v>105.88011512651667</v>
      </c>
      <c r="B14">
        <f t="shared" si="1"/>
        <v>226.81853243718231</v>
      </c>
      <c r="E14">
        <v>12</v>
      </c>
      <c r="F14">
        <v>0</v>
      </c>
      <c r="G14">
        <v>0</v>
      </c>
      <c r="H14">
        <f t="shared" si="0"/>
        <v>0</v>
      </c>
      <c r="Q14">
        <v>9</v>
      </c>
      <c r="R14" s="13"/>
      <c r="S14">
        <v>8</v>
      </c>
      <c r="T14">
        <v>0</v>
      </c>
    </row>
    <row r="15" spans="1:20" x14ac:dyDescent="0.2">
      <c r="A15">
        <v>120.93841731066564</v>
      </c>
      <c r="B15">
        <f t="shared" si="1"/>
        <v>257.98538519541478</v>
      </c>
      <c r="E15">
        <v>13</v>
      </c>
      <c r="F15">
        <v>1</v>
      </c>
      <c r="G15">
        <v>0</v>
      </c>
      <c r="H15">
        <f t="shared" si="0"/>
        <v>0.5</v>
      </c>
      <c r="Q15">
        <v>10</v>
      </c>
      <c r="R15" s="13"/>
      <c r="S15">
        <v>9</v>
      </c>
      <c r="T15">
        <v>0</v>
      </c>
    </row>
    <row r="16" spans="1:20" x14ac:dyDescent="0.2">
      <c r="A16">
        <v>137.04696788474917</v>
      </c>
      <c r="B16">
        <f t="shared" si="1"/>
        <v>291.17680618960276</v>
      </c>
      <c r="E16">
        <v>14</v>
      </c>
      <c r="F16">
        <v>1</v>
      </c>
      <c r="G16">
        <v>0</v>
      </c>
      <c r="H16">
        <f t="shared" si="0"/>
        <v>0.5</v>
      </c>
      <c r="Q16">
        <v>11</v>
      </c>
      <c r="R16" s="13"/>
      <c r="S16">
        <v>10</v>
      </c>
      <c r="T16">
        <v>0</v>
      </c>
    </row>
    <row r="17" spans="1:20" x14ac:dyDescent="0.2">
      <c r="A17">
        <v>154.12983830485356</v>
      </c>
      <c r="B17">
        <f t="shared" si="1"/>
        <v>323.2535495512202</v>
      </c>
      <c r="E17">
        <v>15</v>
      </c>
      <c r="F17">
        <v>1.4</v>
      </c>
      <c r="G17">
        <v>0</v>
      </c>
      <c r="H17">
        <f>AVERAGE(F17:G17)</f>
        <v>0.7</v>
      </c>
      <c r="Q17">
        <v>12</v>
      </c>
      <c r="R17" s="13"/>
      <c r="S17">
        <v>11</v>
      </c>
      <c r="T17">
        <v>0</v>
      </c>
    </row>
    <row r="18" spans="1:20" x14ac:dyDescent="0.2">
      <c r="A18">
        <v>169.12371124636667</v>
      </c>
      <c r="B18">
        <f t="shared" si="1"/>
        <v>350.8245323190198</v>
      </c>
      <c r="E18">
        <v>16</v>
      </c>
      <c r="F18">
        <v>1.4</v>
      </c>
      <c r="G18">
        <v>0</v>
      </c>
      <c r="H18">
        <f t="shared" si="0"/>
        <v>0.7</v>
      </c>
      <c r="Q18">
        <v>13</v>
      </c>
      <c r="R18" s="13"/>
      <c r="S18">
        <v>12</v>
      </c>
      <c r="T18">
        <v>0</v>
      </c>
    </row>
    <row r="19" spans="1:20" x14ac:dyDescent="0.2">
      <c r="A19">
        <v>181.70082107265313</v>
      </c>
      <c r="B19">
        <f t="shared" si="1"/>
        <v>375.30690341430602</v>
      </c>
      <c r="E19">
        <v>17</v>
      </c>
      <c r="F19">
        <v>1.4</v>
      </c>
      <c r="G19">
        <v>0</v>
      </c>
      <c r="H19">
        <f t="shared" si="0"/>
        <v>0.7</v>
      </c>
      <c r="Q19">
        <v>14</v>
      </c>
      <c r="R19" s="13"/>
      <c r="S19">
        <v>13</v>
      </c>
      <c r="T19">
        <v>0</v>
      </c>
    </row>
    <row r="20" spans="1:20" x14ac:dyDescent="0.2">
      <c r="A20">
        <v>193.60608234165292</v>
      </c>
      <c r="B20">
        <f t="shared" si="1"/>
        <v>404.08023789899994</v>
      </c>
      <c r="E20">
        <v>18</v>
      </c>
      <c r="F20">
        <v>1.4</v>
      </c>
      <c r="G20">
        <v>0</v>
      </c>
      <c r="H20">
        <f t="shared" si="0"/>
        <v>0.7</v>
      </c>
      <c r="Q20">
        <v>15</v>
      </c>
      <c r="R20" s="13"/>
      <c r="S20">
        <v>14</v>
      </c>
      <c r="T20">
        <v>0.15</v>
      </c>
    </row>
    <row r="21" spans="1:20" x14ac:dyDescent="0.2">
      <c r="A21">
        <v>210.47415555734699</v>
      </c>
      <c r="B21">
        <f t="shared" si="1"/>
        <v>437.73509263783149</v>
      </c>
      <c r="E21">
        <v>19</v>
      </c>
      <c r="F21">
        <v>1.4</v>
      </c>
      <c r="G21">
        <v>0</v>
      </c>
      <c r="H21">
        <f t="shared" si="0"/>
        <v>0.7</v>
      </c>
      <c r="Q21">
        <v>16</v>
      </c>
      <c r="R21" s="13"/>
      <c r="S21">
        <v>15</v>
      </c>
      <c r="T21">
        <v>0.15</v>
      </c>
    </row>
    <row r="22" spans="1:20" x14ac:dyDescent="0.2">
      <c r="A22">
        <v>227.26093708048447</v>
      </c>
      <c r="B22">
        <f t="shared" si="1"/>
        <v>473.45322387944964</v>
      </c>
      <c r="E22">
        <v>20</v>
      </c>
      <c r="F22">
        <v>2</v>
      </c>
      <c r="G22">
        <v>4</v>
      </c>
      <c r="H22">
        <f>AVERAGE(F22:G22)</f>
        <v>3</v>
      </c>
      <c r="Q22">
        <v>17</v>
      </c>
      <c r="R22" s="13"/>
      <c r="S22">
        <v>16</v>
      </c>
      <c r="T22">
        <v>0.24</v>
      </c>
    </row>
    <row r="23" spans="1:20" x14ac:dyDescent="0.2">
      <c r="A23">
        <v>246.19228679896514</v>
      </c>
      <c r="B23">
        <f t="shared" si="1"/>
        <v>510.73975363836041</v>
      </c>
      <c r="E23">
        <v>21</v>
      </c>
      <c r="F23">
        <v>2</v>
      </c>
      <c r="G23">
        <v>4</v>
      </c>
      <c r="H23">
        <f t="shared" si="0"/>
        <v>3</v>
      </c>
      <c r="I23">
        <f>AVERAGE(F23:F93)</f>
        <v>7.4661971830985889</v>
      </c>
      <c r="J23">
        <f>AVERAGE(G23:G94)</f>
        <v>6.9027777777777777</v>
      </c>
      <c r="K23">
        <f>AVERAGE(H23:H93)</f>
        <v>7.2260563380281715</v>
      </c>
      <c r="L23">
        <v>0</v>
      </c>
      <c r="Q23">
        <v>18</v>
      </c>
      <c r="R23" s="13"/>
      <c r="S23">
        <v>17</v>
      </c>
      <c r="T23">
        <v>0.24</v>
      </c>
    </row>
    <row r="24" spans="1:20" x14ac:dyDescent="0.2">
      <c r="A24">
        <v>264.54746683939527</v>
      </c>
      <c r="B24">
        <f t="shared" si="1"/>
        <v>547.5410641369615</v>
      </c>
      <c r="E24">
        <v>22</v>
      </c>
      <c r="F24">
        <v>2.2999999999999998</v>
      </c>
      <c r="G24">
        <v>2</v>
      </c>
      <c r="H24">
        <f t="shared" si="0"/>
        <v>2.15</v>
      </c>
      <c r="Q24">
        <v>19</v>
      </c>
      <c r="R24" s="13"/>
      <c r="S24">
        <v>18</v>
      </c>
      <c r="T24">
        <v>0.24</v>
      </c>
    </row>
    <row r="25" spans="1:20" x14ac:dyDescent="0.2">
      <c r="A25">
        <v>282.99359729756617</v>
      </c>
      <c r="B25">
        <f t="shared" si="1"/>
        <v>584.09725976405707</v>
      </c>
      <c r="E25">
        <v>23</v>
      </c>
      <c r="F25">
        <v>2.2999999999999998</v>
      </c>
      <c r="G25">
        <v>2</v>
      </c>
      <c r="H25">
        <f t="shared" si="0"/>
        <v>2.15</v>
      </c>
      <c r="Q25">
        <v>20</v>
      </c>
      <c r="R25" s="13"/>
      <c r="S25">
        <v>19</v>
      </c>
      <c r="T25">
        <v>0.28999999999999998</v>
      </c>
    </row>
    <row r="26" spans="1:20" x14ac:dyDescent="0.2">
      <c r="A26">
        <v>301.10366246649096</v>
      </c>
      <c r="B26">
        <f t="shared" si="1"/>
        <v>619.26891264475796</v>
      </c>
      <c r="E26">
        <v>24</v>
      </c>
      <c r="F26">
        <v>4.8</v>
      </c>
      <c r="G26">
        <v>5</v>
      </c>
      <c r="H26">
        <f t="shared" si="0"/>
        <v>4.9000000000000004</v>
      </c>
      <c r="Q26">
        <v>21</v>
      </c>
      <c r="R26" s="13"/>
      <c r="S26">
        <v>20</v>
      </c>
      <c r="T26">
        <v>0.28999999999999998</v>
      </c>
    </row>
    <row r="27" spans="1:20" x14ac:dyDescent="0.2">
      <c r="A27">
        <v>318.165250178267</v>
      </c>
      <c r="B27">
        <f t="shared" si="1"/>
        <v>656.25157204235165</v>
      </c>
      <c r="E27">
        <v>25</v>
      </c>
      <c r="F27">
        <v>4.8</v>
      </c>
      <c r="G27">
        <v>5</v>
      </c>
      <c r="H27">
        <f t="shared" si="0"/>
        <v>4.9000000000000004</v>
      </c>
      <c r="Q27">
        <v>22</v>
      </c>
      <c r="R27" s="13"/>
      <c r="S27">
        <v>21</v>
      </c>
      <c r="T27">
        <v>0.47</v>
      </c>
    </row>
    <row r="28" spans="1:20" x14ac:dyDescent="0.2">
      <c r="A28">
        <v>338.08632186408465</v>
      </c>
      <c r="B28">
        <f t="shared" si="1"/>
        <v>697.52345740100645</v>
      </c>
      <c r="E28">
        <v>26</v>
      </c>
      <c r="F28">
        <v>4.9000000000000004</v>
      </c>
      <c r="G28">
        <v>5</v>
      </c>
      <c r="H28">
        <f t="shared" si="0"/>
        <v>4.95</v>
      </c>
      <c r="Q28">
        <v>23</v>
      </c>
      <c r="R28" s="13"/>
      <c r="S28">
        <v>22</v>
      </c>
      <c r="T28">
        <v>0.47</v>
      </c>
    </row>
    <row r="29" spans="1:20" x14ac:dyDescent="0.2">
      <c r="A29">
        <v>359.43713553692186</v>
      </c>
      <c r="B29">
        <f t="shared" si="1"/>
        <v>738.60471049472471</v>
      </c>
      <c r="E29">
        <v>27</v>
      </c>
      <c r="F29">
        <v>4.9000000000000004</v>
      </c>
      <c r="G29">
        <v>4</v>
      </c>
      <c r="H29">
        <f t="shared" si="0"/>
        <v>4.45</v>
      </c>
      <c r="Q29">
        <v>24</v>
      </c>
      <c r="R29" s="13"/>
      <c r="S29">
        <v>23</v>
      </c>
      <c r="T29">
        <v>0.66</v>
      </c>
    </row>
    <row r="30" spans="1:20" x14ac:dyDescent="0.2">
      <c r="A30">
        <v>379.16757495780291</v>
      </c>
      <c r="B30">
        <f t="shared" si="1"/>
        <v>771.58409232866177</v>
      </c>
      <c r="E30">
        <v>28</v>
      </c>
      <c r="F30">
        <v>4.9000000000000004</v>
      </c>
      <c r="G30">
        <v>4</v>
      </c>
      <c r="H30">
        <f t="shared" si="0"/>
        <v>4.45</v>
      </c>
      <c r="Q30">
        <v>25</v>
      </c>
      <c r="R30" s="13"/>
      <c r="S30">
        <v>24</v>
      </c>
      <c r="T30">
        <v>0.66</v>
      </c>
    </row>
    <row r="31" spans="1:20" x14ac:dyDescent="0.2">
      <c r="A31">
        <v>392.41651737085886</v>
      </c>
      <c r="B31">
        <f t="shared" si="1"/>
        <v>796.84286743268831</v>
      </c>
      <c r="E31">
        <v>29</v>
      </c>
      <c r="F31">
        <v>3.5</v>
      </c>
      <c r="G31">
        <v>4</v>
      </c>
      <c r="H31">
        <f t="shared" si="0"/>
        <v>3.75</v>
      </c>
      <c r="Q31">
        <v>26</v>
      </c>
      <c r="R31" s="13"/>
      <c r="S31">
        <v>25</v>
      </c>
      <c r="T31">
        <v>0.66</v>
      </c>
    </row>
    <row r="32" spans="1:20" x14ac:dyDescent="0.2">
      <c r="A32">
        <v>404.42635006182945</v>
      </c>
      <c r="B32">
        <f t="shared" si="1"/>
        <v>826.16454366090068</v>
      </c>
      <c r="E32">
        <v>30</v>
      </c>
      <c r="F32">
        <v>3.5</v>
      </c>
      <c r="G32">
        <v>4</v>
      </c>
      <c r="H32">
        <f t="shared" si="0"/>
        <v>3.75</v>
      </c>
      <c r="Q32">
        <v>27</v>
      </c>
      <c r="R32" s="13"/>
      <c r="S32">
        <v>26</v>
      </c>
      <c r="T32">
        <v>1.47</v>
      </c>
    </row>
    <row r="33" spans="1:20" x14ac:dyDescent="0.2">
      <c r="A33">
        <v>421.73819359907122</v>
      </c>
      <c r="B33">
        <f t="shared" si="1"/>
        <v>849.63675524033192</v>
      </c>
      <c r="E33">
        <v>31</v>
      </c>
      <c r="F33">
        <v>3.5</v>
      </c>
      <c r="G33">
        <v>4</v>
      </c>
      <c r="H33">
        <f t="shared" si="0"/>
        <v>3.75</v>
      </c>
      <c r="Q33">
        <v>28</v>
      </c>
      <c r="R33" s="13"/>
      <c r="S33">
        <v>27</v>
      </c>
      <c r="T33">
        <v>1.47</v>
      </c>
    </row>
    <row r="34" spans="1:20" x14ac:dyDescent="0.2">
      <c r="A34">
        <v>427.8985616412607</v>
      </c>
      <c r="B34">
        <f t="shared" si="1"/>
        <v>427.8985616412607</v>
      </c>
      <c r="E34">
        <v>32</v>
      </c>
      <c r="F34">
        <v>3.6</v>
      </c>
      <c r="G34">
        <v>4</v>
      </c>
      <c r="H34">
        <f t="shared" si="0"/>
        <v>3.8</v>
      </c>
      <c r="Q34">
        <v>29</v>
      </c>
      <c r="R34" s="13"/>
      <c r="S34">
        <v>28</v>
      </c>
      <c r="T34">
        <v>1.57</v>
      </c>
    </row>
    <row r="35" spans="1:20" x14ac:dyDescent="0.2">
      <c r="E35">
        <v>33</v>
      </c>
      <c r="F35">
        <v>3.6</v>
      </c>
      <c r="G35">
        <v>4</v>
      </c>
      <c r="H35">
        <f t="shared" si="0"/>
        <v>3.8</v>
      </c>
      <c r="Q35">
        <v>30</v>
      </c>
      <c r="R35" s="13"/>
      <c r="S35">
        <v>29</v>
      </c>
      <c r="T35">
        <v>1.57</v>
      </c>
    </row>
    <row r="36" spans="1:20" x14ac:dyDescent="0.2">
      <c r="E36">
        <v>34</v>
      </c>
      <c r="F36">
        <v>4.8</v>
      </c>
      <c r="G36">
        <v>5</v>
      </c>
      <c r="H36">
        <f t="shared" si="0"/>
        <v>4.9000000000000004</v>
      </c>
      <c r="Q36">
        <v>31</v>
      </c>
      <c r="R36" s="13"/>
      <c r="S36">
        <v>30</v>
      </c>
      <c r="T36">
        <v>1.1299999999999999</v>
      </c>
    </row>
    <row r="37" spans="1:20" x14ac:dyDescent="0.2">
      <c r="E37">
        <v>35</v>
      </c>
      <c r="F37">
        <v>4.8</v>
      </c>
      <c r="G37">
        <v>5</v>
      </c>
      <c r="H37">
        <f t="shared" si="0"/>
        <v>4.9000000000000004</v>
      </c>
      <c r="Q37">
        <v>32</v>
      </c>
      <c r="R37" s="13"/>
      <c r="S37">
        <v>31</v>
      </c>
      <c r="T37">
        <v>1.1299999999999999</v>
      </c>
    </row>
    <row r="38" spans="1:20" x14ac:dyDescent="0.2">
      <c r="E38">
        <v>36</v>
      </c>
      <c r="F38">
        <v>6.1</v>
      </c>
      <c r="G38">
        <v>6</v>
      </c>
      <c r="H38">
        <f t="shared" si="0"/>
        <v>6.05</v>
      </c>
      <c r="Q38">
        <v>33</v>
      </c>
      <c r="R38" s="13"/>
      <c r="S38">
        <v>32</v>
      </c>
      <c r="T38">
        <v>1.1299999999999999</v>
      </c>
    </row>
    <row r="39" spans="1:20" x14ac:dyDescent="0.2">
      <c r="E39">
        <v>37</v>
      </c>
      <c r="F39">
        <v>6.1</v>
      </c>
      <c r="G39">
        <v>6</v>
      </c>
      <c r="H39">
        <f t="shared" si="0"/>
        <v>6.05</v>
      </c>
      <c r="Q39">
        <v>34</v>
      </c>
      <c r="R39" s="13"/>
      <c r="S39">
        <v>33</v>
      </c>
      <c r="T39">
        <v>1.28</v>
      </c>
    </row>
    <row r="40" spans="1:20" x14ac:dyDescent="0.2">
      <c r="E40">
        <v>38</v>
      </c>
      <c r="F40">
        <v>6.1</v>
      </c>
      <c r="G40">
        <v>6</v>
      </c>
      <c r="H40">
        <f t="shared" si="0"/>
        <v>6.05</v>
      </c>
      <c r="Q40">
        <v>35</v>
      </c>
      <c r="R40" s="13"/>
      <c r="S40">
        <v>34</v>
      </c>
      <c r="T40">
        <v>1.28</v>
      </c>
    </row>
    <row r="41" spans="1:20" x14ac:dyDescent="0.2">
      <c r="E41">
        <v>39</v>
      </c>
      <c r="F41">
        <v>6.3</v>
      </c>
      <c r="G41">
        <v>6</v>
      </c>
      <c r="H41">
        <f t="shared" si="0"/>
        <v>6.15</v>
      </c>
      <c r="Q41">
        <v>36</v>
      </c>
      <c r="R41" s="13"/>
      <c r="S41">
        <v>35</v>
      </c>
      <c r="T41">
        <v>1.59</v>
      </c>
    </row>
    <row r="42" spans="1:20" x14ac:dyDescent="0.2">
      <c r="E42">
        <v>40</v>
      </c>
      <c r="F42">
        <v>6.3</v>
      </c>
      <c r="G42">
        <v>6</v>
      </c>
      <c r="H42">
        <f t="shared" si="0"/>
        <v>6.15</v>
      </c>
      <c r="Q42">
        <v>37</v>
      </c>
      <c r="R42" s="13"/>
      <c r="S42">
        <v>36</v>
      </c>
      <c r="T42">
        <v>1.59</v>
      </c>
    </row>
    <row r="43" spans="1:20" x14ac:dyDescent="0.2">
      <c r="E43">
        <v>41</v>
      </c>
      <c r="F43">
        <v>7.1</v>
      </c>
      <c r="G43">
        <v>7</v>
      </c>
      <c r="H43">
        <f t="shared" si="0"/>
        <v>7.05</v>
      </c>
      <c r="Q43">
        <v>38</v>
      </c>
      <c r="R43" s="13"/>
      <c r="S43">
        <v>37</v>
      </c>
      <c r="T43">
        <v>1.78</v>
      </c>
    </row>
    <row r="44" spans="1:20" x14ac:dyDescent="0.2">
      <c r="E44">
        <v>42</v>
      </c>
      <c r="F44">
        <v>7.1</v>
      </c>
      <c r="G44">
        <v>7</v>
      </c>
      <c r="H44">
        <f t="shared" si="0"/>
        <v>7.05</v>
      </c>
      <c r="Q44">
        <v>39</v>
      </c>
      <c r="R44" s="13"/>
      <c r="S44">
        <v>38</v>
      </c>
      <c r="T44">
        <v>1.78</v>
      </c>
    </row>
    <row r="45" spans="1:20" x14ac:dyDescent="0.2">
      <c r="E45">
        <v>43</v>
      </c>
      <c r="F45">
        <v>7.6</v>
      </c>
      <c r="G45">
        <v>8</v>
      </c>
      <c r="H45">
        <f t="shared" si="0"/>
        <v>7.8</v>
      </c>
      <c r="Q45">
        <v>40</v>
      </c>
      <c r="R45" s="13"/>
      <c r="S45">
        <v>39</v>
      </c>
      <c r="T45">
        <v>1.78</v>
      </c>
    </row>
    <row r="46" spans="1:20" x14ac:dyDescent="0.2">
      <c r="E46">
        <v>44</v>
      </c>
      <c r="F46">
        <v>7.6</v>
      </c>
      <c r="G46">
        <v>8</v>
      </c>
      <c r="H46">
        <f t="shared" si="0"/>
        <v>7.8</v>
      </c>
      <c r="Q46">
        <v>41</v>
      </c>
      <c r="R46" s="13"/>
      <c r="S46">
        <v>40</v>
      </c>
      <c r="T46">
        <v>2.02</v>
      </c>
    </row>
    <row r="47" spans="1:20" x14ac:dyDescent="0.2">
      <c r="E47">
        <v>45</v>
      </c>
      <c r="F47">
        <v>7.5</v>
      </c>
      <c r="G47">
        <v>8</v>
      </c>
      <c r="H47">
        <f t="shared" si="0"/>
        <v>7.75</v>
      </c>
      <c r="Q47">
        <v>42</v>
      </c>
      <c r="R47" s="13"/>
      <c r="S47">
        <v>41</v>
      </c>
      <c r="T47">
        <v>2.02</v>
      </c>
    </row>
    <row r="48" spans="1:20" x14ac:dyDescent="0.2">
      <c r="E48">
        <v>46</v>
      </c>
      <c r="F48">
        <v>7.5</v>
      </c>
      <c r="G48">
        <v>8</v>
      </c>
      <c r="H48">
        <f t="shared" si="0"/>
        <v>7.75</v>
      </c>
      <c r="Q48">
        <v>43</v>
      </c>
      <c r="R48" s="13"/>
      <c r="S48">
        <v>42</v>
      </c>
      <c r="T48">
        <v>2.27</v>
      </c>
    </row>
    <row r="49" spans="5:20" x14ac:dyDescent="0.2">
      <c r="E49">
        <v>47</v>
      </c>
      <c r="F49">
        <v>7.5</v>
      </c>
      <c r="G49">
        <v>8</v>
      </c>
      <c r="H49">
        <f t="shared" si="0"/>
        <v>7.75</v>
      </c>
      <c r="Q49">
        <v>44</v>
      </c>
      <c r="R49" s="13"/>
      <c r="S49">
        <v>43</v>
      </c>
      <c r="T49">
        <v>2.27</v>
      </c>
    </row>
    <row r="50" spans="5:20" x14ac:dyDescent="0.2">
      <c r="E50">
        <v>48</v>
      </c>
      <c r="F50">
        <v>8.6</v>
      </c>
      <c r="G50">
        <v>9</v>
      </c>
      <c r="H50">
        <f t="shared" si="0"/>
        <v>8.8000000000000007</v>
      </c>
      <c r="Q50">
        <v>45</v>
      </c>
      <c r="R50" s="13"/>
      <c r="S50">
        <v>44</v>
      </c>
      <c r="T50">
        <v>2.52</v>
      </c>
    </row>
    <row r="51" spans="5:20" x14ac:dyDescent="0.2">
      <c r="E51">
        <v>49</v>
      </c>
      <c r="F51">
        <v>8.6</v>
      </c>
      <c r="G51">
        <v>9</v>
      </c>
      <c r="H51">
        <f t="shared" si="0"/>
        <v>8.8000000000000007</v>
      </c>
      <c r="Q51">
        <v>46</v>
      </c>
      <c r="R51" s="13"/>
      <c r="S51">
        <v>45</v>
      </c>
      <c r="T51">
        <v>2.52</v>
      </c>
    </row>
    <row r="52" spans="5:20" x14ac:dyDescent="0.2">
      <c r="E52">
        <v>50</v>
      </c>
      <c r="F52">
        <v>8</v>
      </c>
      <c r="G52">
        <v>8</v>
      </c>
      <c r="H52">
        <f t="shared" si="0"/>
        <v>8</v>
      </c>
      <c r="Q52">
        <v>47</v>
      </c>
      <c r="R52" s="13"/>
      <c r="S52">
        <v>46</v>
      </c>
      <c r="T52">
        <v>2.52</v>
      </c>
    </row>
    <row r="53" spans="5:20" x14ac:dyDescent="0.2">
      <c r="E53">
        <v>51</v>
      </c>
      <c r="F53">
        <v>8</v>
      </c>
      <c r="G53">
        <v>8</v>
      </c>
      <c r="H53">
        <f t="shared" si="0"/>
        <v>8</v>
      </c>
      <c r="Q53">
        <v>48</v>
      </c>
      <c r="R53" s="13"/>
      <c r="S53">
        <v>47</v>
      </c>
      <c r="T53">
        <v>2.71</v>
      </c>
    </row>
    <row r="54" spans="5:20" x14ac:dyDescent="0.2">
      <c r="E54">
        <v>52</v>
      </c>
      <c r="F54">
        <v>9.1</v>
      </c>
      <c r="G54">
        <v>8</v>
      </c>
      <c r="H54">
        <f t="shared" si="0"/>
        <v>8.5500000000000007</v>
      </c>
      <c r="Q54">
        <v>49</v>
      </c>
      <c r="R54" s="13"/>
      <c r="S54">
        <v>48</v>
      </c>
      <c r="T54">
        <v>2.71</v>
      </c>
    </row>
    <row r="55" spans="5:20" x14ac:dyDescent="0.2">
      <c r="E55">
        <v>53</v>
      </c>
      <c r="F55">
        <v>9.1</v>
      </c>
      <c r="G55">
        <v>8</v>
      </c>
      <c r="H55">
        <f t="shared" si="0"/>
        <v>8.5500000000000007</v>
      </c>
      <c r="Q55">
        <v>50</v>
      </c>
      <c r="R55" s="13"/>
      <c r="S55">
        <v>49</v>
      </c>
      <c r="T55">
        <v>2.9</v>
      </c>
    </row>
    <row r="56" spans="5:20" x14ac:dyDescent="0.2">
      <c r="E56">
        <v>54</v>
      </c>
      <c r="F56">
        <v>9.1</v>
      </c>
      <c r="G56">
        <v>8</v>
      </c>
      <c r="H56">
        <f t="shared" si="0"/>
        <v>8.5500000000000007</v>
      </c>
      <c r="Q56">
        <v>51</v>
      </c>
      <c r="R56" s="13"/>
      <c r="S56">
        <v>50</v>
      </c>
      <c r="T56">
        <v>2.9</v>
      </c>
    </row>
    <row r="57" spans="5:20" x14ac:dyDescent="0.2">
      <c r="E57">
        <v>55</v>
      </c>
      <c r="F57">
        <v>7.3</v>
      </c>
      <c r="G57">
        <v>7</v>
      </c>
      <c r="H57">
        <f t="shared" si="0"/>
        <v>7.15</v>
      </c>
      <c r="Q57">
        <v>52</v>
      </c>
      <c r="R57" s="13"/>
      <c r="S57">
        <v>51</v>
      </c>
      <c r="T57">
        <v>3.01</v>
      </c>
    </row>
    <row r="58" spans="5:20" x14ac:dyDescent="0.2">
      <c r="E58">
        <v>56</v>
      </c>
      <c r="F58">
        <v>7.3</v>
      </c>
      <c r="G58">
        <v>7</v>
      </c>
      <c r="H58">
        <f t="shared" si="0"/>
        <v>7.15</v>
      </c>
      <c r="Q58">
        <v>53</v>
      </c>
      <c r="R58" s="13"/>
      <c r="S58">
        <v>52</v>
      </c>
      <c r="T58">
        <v>3.01</v>
      </c>
    </row>
    <row r="59" spans="5:20" x14ac:dyDescent="0.2">
      <c r="E59">
        <v>57</v>
      </c>
      <c r="F59">
        <v>7.1</v>
      </c>
      <c r="G59">
        <v>6</v>
      </c>
      <c r="H59">
        <f t="shared" si="0"/>
        <v>6.55</v>
      </c>
      <c r="Q59">
        <v>54</v>
      </c>
      <c r="R59" s="13"/>
      <c r="S59">
        <v>53</v>
      </c>
      <c r="T59">
        <v>3.01</v>
      </c>
    </row>
    <row r="60" spans="5:20" x14ac:dyDescent="0.2">
      <c r="E60">
        <v>58</v>
      </c>
      <c r="F60">
        <v>7.1</v>
      </c>
      <c r="G60">
        <v>6</v>
      </c>
      <c r="H60">
        <f t="shared" si="0"/>
        <v>6.55</v>
      </c>
      <c r="Q60">
        <v>55</v>
      </c>
      <c r="R60" s="13"/>
      <c r="S60">
        <v>54</v>
      </c>
      <c r="T60">
        <v>2.81</v>
      </c>
    </row>
    <row r="61" spans="5:20" x14ac:dyDescent="0.2">
      <c r="E61">
        <v>59</v>
      </c>
      <c r="F61">
        <v>7.1</v>
      </c>
      <c r="G61">
        <v>6</v>
      </c>
      <c r="H61">
        <f t="shared" si="0"/>
        <v>6.55</v>
      </c>
      <c r="Q61">
        <v>56</v>
      </c>
      <c r="R61" s="13"/>
      <c r="S61">
        <v>55</v>
      </c>
      <c r="T61">
        <v>2.81</v>
      </c>
    </row>
    <row r="62" spans="5:20" x14ac:dyDescent="0.2">
      <c r="E62">
        <v>60</v>
      </c>
      <c r="F62">
        <v>9.1999999999999993</v>
      </c>
      <c r="G62">
        <v>9</v>
      </c>
      <c r="H62">
        <f t="shared" si="0"/>
        <v>9.1</v>
      </c>
      <c r="Q62">
        <v>57</v>
      </c>
      <c r="R62" s="13"/>
      <c r="S62">
        <v>56</v>
      </c>
      <c r="T62">
        <v>2.29</v>
      </c>
    </row>
    <row r="63" spans="5:20" x14ac:dyDescent="0.2">
      <c r="E63">
        <v>61</v>
      </c>
      <c r="F63">
        <v>9.1999999999999993</v>
      </c>
      <c r="G63">
        <v>9</v>
      </c>
      <c r="H63">
        <f t="shared" si="0"/>
        <v>9.1</v>
      </c>
      <c r="Q63">
        <v>58</v>
      </c>
      <c r="R63" s="13"/>
      <c r="S63">
        <v>57</v>
      </c>
      <c r="T63">
        <v>2.29</v>
      </c>
    </row>
    <row r="64" spans="5:20" x14ac:dyDescent="0.2">
      <c r="E64">
        <v>62</v>
      </c>
      <c r="F64">
        <v>9.1999999999999993</v>
      </c>
      <c r="G64">
        <v>8</v>
      </c>
      <c r="H64">
        <f t="shared" si="0"/>
        <v>8.6</v>
      </c>
      <c r="Q64">
        <v>59</v>
      </c>
      <c r="R64" s="13"/>
      <c r="S64">
        <v>58</v>
      </c>
      <c r="T64">
        <v>2.11</v>
      </c>
    </row>
    <row r="65" spans="5:20" x14ac:dyDescent="0.2">
      <c r="E65">
        <v>63</v>
      </c>
      <c r="F65">
        <v>9.1999999999999993</v>
      </c>
      <c r="G65">
        <v>8</v>
      </c>
      <c r="H65">
        <f t="shared" si="0"/>
        <v>8.6</v>
      </c>
      <c r="Q65">
        <v>60</v>
      </c>
      <c r="R65" s="13"/>
      <c r="S65">
        <v>59</v>
      </c>
      <c r="T65">
        <v>2.11</v>
      </c>
    </row>
    <row r="66" spans="5:20" x14ac:dyDescent="0.2">
      <c r="E66">
        <v>64</v>
      </c>
      <c r="F66">
        <v>9.6</v>
      </c>
      <c r="G66">
        <v>8</v>
      </c>
      <c r="H66">
        <f t="shared" si="0"/>
        <v>8.8000000000000007</v>
      </c>
      <c r="Q66">
        <v>61</v>
      </c>
      <c r="R66" s="13"/>
      <c r="S66">
        <v>60</v>
      </c>
      <c r="T66">
        <v>2.11</v>
      </c>
    </row>
    <row r="67" spans="5:20" x14ac:dyDescent="0.2">
      <c r="E67">
        <v>65</v>
      </c>
      <c r="F67">
        <v>9.6</v>
      </c>
      <c r="G67">
        <v>8</v>
      </c>
      <c r="H67">
        <f t="shared" ref="H67:H130" si="2">AVERAGE(F67:G67)</f>
        <v>8.8000000000000007</v>
      </c>
      <c r="Q67">
        <v>62</v>
      </c>
      <c r="R67" s="13"/>
      <c r="S67">
        <v>61</v>
      </c>
      <c r="T67">
        <v>2.79</v>
      </c>
    </row>
    <row r="68" spans="5:20" x14ac:dyDescent="0.2">
      <c r="E68">
        <v>66</v>
      </c>
      <c r="F68">
        <v>10.3</v>
      </c>
      <c r="G68">
        <v>9</v>
      </c>
      <c r="H68">
        <f t="shared" si="2"/>
        <v>9.65</v>
      </c>
      <c r="Q68">
        <v>63</v>
      </c>
      <c r="R68" s="13"/>
      <c r="S68">
        <v>62</v>
      </c>
      <c r="T68">
        <v>2.79</v>
      </c>
    </row>
    <row r="69" spans="5:20" x14ac:dyDescent="0.2">
      <c r="E69">
        <v>67</v>
      </c>
      <c r="F69">
        <v>10.3</v>
      </c>
      <c r="G69">
        <v>9</v>
      </c>
      <c r="H69">
        <f t="shared" si="2"/>
        <v>9.65</v>
      </c>
      <c r="Q69">
        <v>64</v>
      </c>
      <c r="R69" s="13"/>
      <c r="S69">
        <v>63</v>
      </c>
      <c r="T69">
        <v>3.14</v>
      </c>
    </row>
    <row r="70" spans="5:20" x14ac:dyDescent="0.2">
      <c r="E70">
        <v>68</v>
      </c>
      <c r="F70">
        <v>10.3</v>
      </c>
      <c r="G70">
        <v>9</v>
      </c>
      <c r="H70">
        <f t="shared" si="2"/>
        <v>9.65</v>
      </c>
      <c r="Q70">
        <v>65</v>
      </c>
      <c r="R70" s="13"/>
      <c r="S70">
        <v>64</v>
      </c>
      <c r="T70">
        <v>3.14</v>
      </c>
    </row>
    <row r="71" spans="5:20" x14ac:dyDescent="0.2">
      <c r="E71">
        <v>69</v>
      </c>
      <c r="F71">
        <v>10.199999999999999</v>
      </c>
      <c r="G71">
        <v>9</v>
      </c>
      <c r="H71">
        <f t="shared" si="2"/>
        <v>9.6</v>
      </c>
      <c r="Q71">
        <v>66</v>
      </c>
      <c r="S71">
        <v>65</v>
      </c>
      <c r="T71">
        <v>3.47</v>
      </c>
    </row>
    <row r="72" spans="5:20" x14ac:dyDescent="0.2">
      <c r="E72">
        <v>70</v>
      </c>
      <c r="F72">
        <v>10.199999999999999</v>
      </c>
      <c r="G72">
        <v>9</v>
      </c>
      <c r="H72">
        <f t="shared" si="2"/>
        <v>9.6</v>
      </c>
      <c r="Q72">
        <v>67</v>
      </c>
      <c r="S72">
        <v>66</v>
      </c>
      <c r="T72">
        <v>3.47</v>
      </c>
    </row>
    <row r="73" spans="5:20" x14ac:dyDescent="0.2">
      <c r="E73">
        <v>71</v>
      </c>
      <c r="F73">
        <v>10</v>
      </c>
      <c r="G73">
        <v>9</v>
      </c>
      <c r="H73">
        <f t="shared" si="2"/>
        <v>9.5</v>
      </c>
      <c r="Q73">
        <v>68</v>
      </c>
      <c r="S73">
        <v>67</v>
      </c>
      <c r="T73">
        <v>3.47</v>
      </c>
    </row>
    <row r="74" spans="5:20" x14ac:dyDescent="0.2">
      <c r="E74">
        <v>72</v>
      </c>
      <c r="F74">
        <v>10</v>
      </c>
      <c r="G74">
        <v>9</v>
      </c>
      <c r="H74">
        <f t="shared" si="2"/>
        <v>9.5</v>
      </c>
      <c r="Q74">
        <v>69</v>
      </c>
      <c r="S74">
        <v>68</v>
      </c>
      <c r="T74">
        <v>3.37</v>
      </c>
    </row>
    <row r="75" spans="5:20" x14ac:dyDescent="0.2">
      <c r="E75">
        <v>73</v>
      </c>
      <c r="F75">
        <v>9.9</v>
      </c>
      <c r="G75">
        <v>8</v>
      </c>
      <c r="H75">
        <f t="shared" si="2"/>
        <v>8.9499999999999993</v>
      </c>
      <c r="Q75">
        <v>70</v>
      </c>
      <c r="S75">
        <v>69</v>
      </c>
      <c r="T75">
        <v>3.37</v>
      </c>
    </row>
    <row r="76" spans="5:20" x14ac:dyDescent="0.2">
      <c r="E76">
        <v>74</v>
      </c>
      <c r="F76">
        <v>9.9</v>
      </c>
      <c r="G76">
        <v>8</v>
      </c>
      <c r="H76">
        <f t="shared" si="2"/>
        <v>8.9499999999999993</v>
      </c>
      <c r="Q76">
        <v>71</v>
      </c>
      <c r="S76">
        <v>70</v>
      </c>
      <c r="T76">
        <v>3.21</v>
      </c>
    </row>
    <row r="77" spans="5:20" x14ac:dyDescent="0.2">
      <c r="E77">
        <v>75</v>
      </c>
      <c r="F77">
        <v>9.9</v>
      </c>
      <c r="G77">
        <v>8</v>
      </c>
      <c r="H77">
        <f t="shared" si="2"/>
        <v>8.9499999999999993</v>
      </c>
      <c r="Q77">
        <v>72</v>
      </c>
      <c r="S77">
        <v>71</v>
      </c>
      <c r="T77">
        <v>3.21</v>
      </c>
    </row>
    <row r="78" spans="5:20" x14ac:dyDescent="0.2">
      <c r="E78">
        <v>76</v>
      </c>
      <c r="F78">
        <v>11.9</v>
      </c>
      <c r="G78">
        <v>9</v>
      </c>
      <c r="H78">
        <f t="shared" si="2"/>
        <v>10.45</v>
      </c>
      <c r="Q78">
        <v>73</v>
      </c>
      <c r="S78">
        <v>72</v>
      </c>
      <c r="T78">
        <v>3.22</v>
      </c>
    </row>
    <row r="79" spans="5:20" x14ac:dyDescent="0.2">
      <c r="E79">
        <v>77</v>
      </c>
      <c r="F79">
        <v>11.9</v>
      </c>
      <c r="G79">
        <v>9</v>
      </c>
      <c r="H79">
        <f t="shared" si="2"/>
        <v>10.45</v>
      </c>
      <c r="Q79">
        <v>74</v>
      </c>
      <c r="S79">
        <v>73</v>
      </c>
      <c r="T79">
        <v>3.22</v>
      </c>
    </row>
    <row r="80" spans="5:20" x14ac:dyDescent="0.2">
      <c r="E80">
        <v>78</v>
      </c>
      <c r="F80">
        <v>11.4</v>
      </c>
      <c r="G80">
        <v>11</v>
      </c>
      <c r="H80">
        <f t="shared" si="2"/>
        <v>11.2</v>
      </c>
      <c r="Q80">
        <v>75</v>
      </c>
      <c r="S80">
        <v>74</v>
      </c>
      <c r="T80">
        <v>3.22</v>
      </c>
    </row>
    <row r="81" spans="5:20" x14ac:dyDescent="0.2">
      <c r="E81">
        <v>79</v>
      </c>
      <c r="F81">
        <v>11.4</v>
      </c>
      <c r="G81">
        <v>11</v>
      </c>
      <c r="H81">
        <f t="shared" si="2"/>
        <v>11.2</v>
      </c>
      <c r="Q81">
        <v>76</v>
      </c>
      <c r="S81">
        <v>75</v>
      </c>
      <c r="T81">
        <v>3.24</v>
      </c>
    </row>
    <row r="82" spans="5:20" x14ac:dyDescent="0.2">
      <c r="E82">
        <v>80</v>
      </c>
      <c r="F82">
        <v>10.7</v>
      </c>
      <c r="G82">
        <v>10</v>
      </c>
      <c r="H82">
        <f t="shared" si="2"/>
        <v>10.35</v>
      </c>
      <c r="Q82">
        <v>77</v>
      </c>
      <c r="S82">
        <v>76</v>
      </c>
      <c r="T82">
        <v>3.24</v>
      </c>
    </row>
    <row r="83" spans="5:20" x14ac:dyDescent="0.2">
      <c r="E83">
        <v>81</v>
      </c>
      <c r="F83">
        <v>10.7</v>
      </c>
      <c r="G83">
        <v>10</v>
      </c>
      <c r="H83">
        <f t="shared" si="2"/>
        <v>10.35</v>
      </c>
      <c r="Q83">
        <v>78</v>
      </c>
      <c r="S83">
        <v>77</v>
      </c>
      <c r="T83">
        <v>3.7</v>
      </c>
    </row>
    <row r="84" spans="5:20" x14ac:dyDescent="0.2">
      <c r="E84">
        <v>82</v>
      </c>
      <c r="F84">
        <v>10.7</v>
      </c>
      <c r="G84">
        <v>10</v>
      </c>
      <c r="H84">
        <f t="shared" si="2"/>
        <v>10.35</v>
      </c>
      <c r="Q84">
        <v>79</v>
      </c>
      <c r="S84">
        <v>78</v>
      </c>
      <c r="T84">
        <v>3.7</v>
      </c>
    </row>
    <row r="85" spans="5:20" x14ac:dyDescent="0.2">
      <c r="E85">
        <v>83</v>
      </c>
      <c r="F85">
        <v>6.9</v>
      </c>
      <c r="G85">
        <v>7</v>
      </c>
      <c r="H85">
        <f t="shared" si="2"/>
        <v>6.95</v>
      </c>
      <c r="Q85">
        <v>80</v>
      </c>
      <c r="S85">
        <v>79</v>
      </c>
      <c r="T85">
        <v>3.69</v>
      </c>
    </row>
    <row r="86" spans="5:20" x14ac:dyDescent="0.2">
      <c r="E86">
        <v>84</v>
      </c>
      <c r="F86">
        <v>6.9</v>
      </c>
      <c r="G86">
        <v>7</v>
      </c>
      <c r="H86">
        <f t="shared" si="2"/>
        <v>6.95</v>
      </c>
      <c r="Q86">
        <v>81</v>
      </c>
      <c r="S86">
        <v>80</v>
      </c>
      <c r="T86">
        <v>3.69</v>
      </c>
    </row>
    <row r="87" spans="5:20" x14ac:dyDescent="0.2">
      <c r="E87">
        <v>85</v>
      </c>
      <c r="F87">
        <v>6.6</v>
      </c>
      <c r="G87">
        <v>6</v>
      </c>
      <c r="H87">
        <f t="shared" si="2"/>
        <v>6.3</v>
      </c>
      <c r="Q87">
        <v>82</v>
      </c>
      <c r="S87">
        <v>81</v>
      </c>
      <c r="T87">
        <v>3.69</v>
      </c>
    </row>
    <row r="88" spans="5:20" x14ac:dyDescent="0.2">
      <c r="E88">
        <v>86</v>
      </c>
      <c r="F88">
        <v>6.6</v>
      </c>
      <c r="G88">
        <v>6</v>
      </c>
      <c r="H88">
        <f t="shared" si="2"/>
        <v>6.3</v>
      </c>
      <c r="Q88">
        <v>83</v>
      </c>
      <c r="S88">
        <v>82</v>
      </c>
      <c r="T88">
        <v>3.56</v>
      </c>
    </row>
    <row r="89" spans="5:20" x14ac:dyDescent="0.2">
      <c r="E89">
        <v>87</v>
      </c>
      <c r="F89">
        <v>6.6</v>
      </c>
      <c r="G89">
        <v>6</v>
      </c>
      <c r="H89">
        <f t="shared" si="2"/>
        <v>6.3</v>
      </c>
      <c r="Q89">
        <v>84</v>
      </c>
      <c r="S89">
        <v>83</v>
      </c>
      <c r="T89">
        <v>3.56</v>
      </c>
    </row>
    <row r="90" spans="5:20" x14ac:dyDescent="0.2">
      <c r="E90">
        <v>88</v>
      </c>
      <c r="F90">
        <v>9.6</v>
      </c>
      <c r="G90">
        <v>9</v>
      </c>
      <c r="H90">
        <f t="shared" si="2"/>
        <v>9.3000000000000007</v>
      </c>
      <c r="Q90">
        <v>85</v>
      </c>
      <c r="S90">
        <v>84</v>
      </c>
      <c r="T90">
        <v>2.13</v>
      </c>
    </row>
    <row r="91" spans="5:20" x14ac:dyDescent="0.2">
      <c r="E91">
        <v>89</v>
      </c>
      <c r="F91">
        <v>9.6</v>
      </c>
      <c r="G91">
        <v>9</v>
      </c>
      <c r="H91">
        <f t="shared" si="2"/>
        <v>9.3000000000000007</v>
      </c>
      <c r="Q91">
        <v>86</v>
      </c>
      <c r="S91">
        <v>85</v>
      </c>
      <c r="T91">
        <v>2.13</v>
      </c>
    </row>
    <row r="92" spans="5:20" x14ac:dyDescent="0.2">
      <c r="E92">
        <v>90</v>
      </c>
      <c r="F92">
        <v>2.1</v>
      </c>
      <c r="G92">
        <v>2</v>
      </c>
      <c r="H92">
        <f t="shared" si="2"/>
        <v>2.0499999999999998</v>
      </c>
      <c r="Q92">
        <v>87</v>
      </c>
      <c r="S92">
        <v>86</v>
      </c>
      <c r="T92">
        <v>1.96</v>
      </c>
    </row>
    <row r="93" spans="5:20" x14ac:dyDescent="0.2">
      <c r="E93">
        <v>91</v>
      </c>
      <c r="F93">
        <v>2.1</v>
      </c>
      <c r="G93">
        <v>2</v>
      </c>
      <c r="H93">
        <f t="shared" si="2"/>
        <v>2.0499999999999998</v>
      </c>
      <c r="I93">
        <f>AVERAGE(F93:F123)</f>
        <v>5.219354838709676</v>
      </c>
      <c r="J93">
        <f>AVERAGE(G93:G126)</f>
        <v>5.9852941176470589</v>
      </c>
      <c r="K93">
        <f>AVERAGE(H93:H126)</f>
        <v>5.6308823529411764</v>
      </c>
      <c r="Q93">
        <v>88</v>
      </c>
      <c r="S93">
        <v>87</v>
      </c>
      <c r="T93">
        <v>1.96</v>
      </c>
    </row>
    <row r="94" spans="5:20" x14ac:dyDescent="0.2">
      <c r="E94">
        <v>92</v>
      </c>
      <c r="F94">
        <v>1.2</v>
      </c>
      <c r="G94">
        <v>1</v>
      </c>
      <c r="H94">
        <f t="shared" si="2"/>
        <v>1.1000000000000001</v>
      </c>
      <c r="J94">
        <v>0</v>
      </c>
      <c r="Q94">
        <v>89</v>
      </c>
      <c r="S94">
        <v>88</v>
      </c>
      <c r="T94">
        <v>1.96</v>
      </c>
    </row>
    <row r="95" spans="5:20" x14ac:dyDescent="0.2">
      <c r="E95">
        <v>93</v>
      </c>
      <c r="F95">
        <v>1.2</v>
      </c>
      <c r="G95">
        <v>1</v>
      </c>
      <c r="H95">
        <f t="shared" si="2"/>
        <v>1.1000000000000001</v>
      </c>
      <c r="Q95">
        <v>90</v>
      </c>
      <c r="S95">
        <v>89</v>
      </c>
      <c r="T95">
        <v>3.18</v>
      </c>
    </row>
    <row r="96" spans="5:20" x14ac:dyDescent="0.2">
      <c r="E96">
        <v>94</v>
      </c>
      <c r="F96">
        <v>1.2</v>
      </c>
      <c r="G96">
        <v>1</v>
      </c>
      <c r="H96">
        <f t="shared" si="2"/>
        <v>1.1000000000000001</v>
      </c>
      <c r="Q96">
        <v>91</v>
      </c>
      <c r="S96">
        <v>90</v>
      </c>
      <c r="T96">
        <v>3.18</v>
      </c>
    </row>
    <row r="97" spans="5:20" x14ac:dyDescent="0.2">
      <c r="E97">
        <v>95</v>
      </c>
      <c r="F97">
        <v>1.6</v>
      </c>
      <c r="G97">
        <v>1.5</v>
      </c>
      <c r="H97">
        <f t="shared" si="2"/>
        <v>1.55</v>
      </c>
      <c r="Q97">
        <v>92</v>
      </c>
      <c r="S97">
        <v>91</v>
      </c>
      <c r="T97">
        <v>1.29</v>
      </c>
    </row>
    <row r="98" spans="5:20" x14ac:dyDescent="0.2">
      <c r="E98">
        <v>96</v>
      </c>
      <c r="F98">
        <v>1.6</v>
      </c>
      <c r="G98">
        <v>1.5</v>
      </c>
      <c r="H98">
        <f t="shared" si="2"/>
        <v>1.55</v>
      </c>
      <c r="Q98">
        <v>93</v>
      </c>
      <c r="S98">
        <v>92</v>
      </c>
      <c r="T98">
        <v>1.29</v>
      </c>
    </row>
    <row r="99" spans="5:20" x14ac:dyDescent="0.2">
      <c r="E99">
        <v>97</v>
      </c>
      <c r="F99">
        <v>0.9</v>
      </c>
      <c r="G99">
        <v>0.7</v>
      </c>
      <c r="H99">
        <f t="shared" si="2"/>
        <v>0.8</v>
      </c>
      <c r="Q99">
        <v>94</v>
      </c>
      <c r="S99">
        <v>93</v>
      </c>
      <c r="T99">
        <v>0.14000000000000001</v>
      </c>
    </row>
    <row r="100" spans="5:20" x14ac:dyDescent="0.2">
      <c r="E100">
        <v>98</v>
      </c>
      <c r="F100">
        <v>0.9</v>
      </c>
      <c r="G100">
        <v>0.7</v>
      </c>
      <c r="H100">
        <f t="shared" si="2"/>
        <v>0.8</v>
      </c>
      <c r="Q100">
        <v>95</v>
      </c>
      <c r="S100">
        <v>94</v>
      </c>
      <c r="T100">
        <v>0.14000000000000001</v>
      </c>
    </row>
    <row r="101" spans="5:20" x14ac:dyDescent="0.2">
      <c r="E101">
        <v>99</v>
      </c>
      <c r="F101">
        <v>1.4</v>
      </c>
      <c r="G101">
        <v>1.4</v>
      </c>
      <c r="H101">
        <f t="shared" si="2"/>
        <v>1.4</v>
      </c>
      <c r="Q101">
        <v>96</v>
      </c>
      <c r="S101">
        <v>95</v>
      </c>
      <c r="T101">
        <v>0.14000000000000001</v>
      </c>
    </row>
    <row r="102" spans="5:20" x14ac:dyDescent="0.2">
      <c r="E102">
        <v>100</v>
      </c>
      <c r="F102">
        <v>1.4</v>
      </c>
      <c r="G102">
        <v>1.4</v>
      </c>
      <c r="H102">
        <f t="shared" si="2"/>
        <v>1.4</v>
      </c>
      <c r="Q102">
        <v>97</v>
      </c>
      <c r="S102">
        <v>96</v>
      </c>
      <c r="T102">
        <v>0.48</v>
      </c>
    </row>
    <row r="103" spans="5:20" x14ac:dyDescent="0.2">
      <c r="E103">
        <v>101</v>
      </c>
      <c r="F103">
        <v>8.4</v>
      </c>
      <c r="G103">
        <v>9.8000000000000007</v>
      </c>
      <c r="H103">
        <f t="shared" si="2"/>
        <v>9.1000000000000014</v>
      </c>
      <c r="Q103">
        <v>98</v>
      </c>
      <c r="S103">
        <v>97</v>
      </c>
      <c r="T103">
        <v>0.48</v>
      </c>
    </row>
    <row r="104" spans="5:20" x14ac:dyDescent="0.2">
      <c r="E104">
        <v>102</v>
      </c>
      <c r="F104">
        <v>8.4</v>
      </c>
      <c r="G104">
        <v>9.8000000000000007</v>
      </c>
      <c r="H104">
        <f t="shared" si="2"/>
        <v>9.1000000000000014</v>
      </c>
      <c r="Q104">
        <v>99</v>
      </c>
      <c r="S104">
        <v>98</v>
      </c>
      <c r="T104">
        <v>0.53</v>
      </c>
    </row>
    <row r="105" spans="5:20" x14ac:dyDescent="0.2">
      <c r="E105">
        <v>103</v>
      </c>
      <c r="F105">
        <v>8.3000000000000007</v>
      </c>
      <c r="G105">
        <v>9.1999999999999993</v>
      </c>
      <c r="H105">
        <f t="shared" si="2"/>
        <v>8.75</v>
      </c>
      <c r="Q105">
        <v>100</v>
      </c>
      <c r="S105">
        <v>99</v>
      </c>
      <c r="T105">
        <v>0.53</v>
      </c>
    </row>
    <row r="106" spans="5:20" x14ac:dyDescent="0.2">
      <c r="E106">
        <v>104</v>
      </c>
      <c r="F106">
        <v>8.3000000000000007</v>
      </c>
      <c r="G106">
        <v>9.1</v>
      </c>
      <c r="H106">
        <f t="shared" si="2"/>
        <v>8.6999999999999993</v>
      </c>
      <c r="Q106">
        <v>101</v>
      </c>
      <c r="S106">
        <v>100</v>
      </c>
      <c r="T106">
        <v>0.13</v>
      </c>
    </row>
    <row r="107" spans="5:20" x14ac:dyDescent="0.2">
      <c r="E107">
        <v>105</v>
      </c>
      <c r="F107">
        <v>7.7</v>
      </c>
      <c r="G107">
        <v>8.6</v>
      </c>
      <c r="H107">
        <f t="shared" si="2"/>
        <v>8.15</v>
      </c>
      <c r="Q107">
        <v>102</v>
      </c>
      <c r="S107">
        <v>101</v>
      </c>
      <c r="T107">
        <v>0.13</v>
      </c>
    </row>
    <row r="108" spans="5:20" x14ac:dyDescent="0.2">
      <c r="E108">
        <v>106</v>
      </c>
      <c r="F108">
        <v>7.7</v>
      </c>
      <c r="G108">
        <v>8.6</v>
      </c>
      <c r="H108">
        <f t="shared" si="2"/>
        <v>8.15</v>
      </c>
      <c r="Q108">
        <v>103</v>
      </c>
      <c r="S108">
        <v>102</v>
      </c>
      <c r="T108">
        <v>2.52</v>
      </c>
    </row>
    <row r="109" spans="5:20" x14ac:dyDescent="0.2">
      <c r="E109">
        <v>107</v>
      </c>
      <c r="F109">
        <v>7.7</v>
      </c>
      <c r="G109">
        <v>8.6</v>
      </c>
      <c r="H109">
        <f t="shared" si="2"/>
        <v>8.15</v>
      </c>
      <c r="Q109">
        <v>104</v>
      </c>
      <c r="S109">
        <v>103</v>
      </c>
      <c r="T109">
        <v>2.52</v>
      </c>
    </row>
    <row r="110" spans="5:20" x14ac:dyDescent="0.2">
      <c r="E110">
        <v>108</v>
      </c>
      <c r="F110">
        <v>7.1</v>
      </c>
      <c r="G110">
        <v>8.8000000000000007</v>
      </c>
      <c r="H110">
        <f t="shared" si="2"/>
        <v>7.95</v>
      </c>
      <c r="Q110">
        <v>105</v>
      </c>
      <c r="S110">
        <v>104</v>
      </c>
      <c r="T110">
        <v>2.83</v>
      </c>
    </row>
    <row r="111" spans="5:20" x14ac:dyDescent="0.2">
      <c r="E111">
        <v>109</v>
      </c>
      <c r="F111">
        <v>7.1</v>
      </c>
      <c r="G111">
        <v>8.8000000000000007</v>
      </c>
      <c r="H111">
        <f t="shared" si="2"/>
        <v>7.95</v>
      </c>
      <c r="Q111">
        <v>106</v>
      </c>
      <c r="S111">
        <v>105</v>
      </c>
      <c r="T111">
        <v>2.83</v>
      </c>
    </row>
    <row r="112" spans="5:20" x14ac:dyDescent="0.2">
      <c r="E112">
        <v>110</v>
      </c>
      <c r="F112">
        <v>7.1</v>
      </c>
      <c r="G112">
        <v>8</v>
      </c>
      <c r="H112">
        <f t="shared" si="2"/>
        <v>7.55</v>
      </c>
      <c r="Q112">
        <v>107</v>
      </c>
      <c r="S112">
        <v>106</v>
      </c>
      <c r="T112">
        <v>2.83</v>
      </c>
    </row>
    <row r="113" spans="5:20" x14ac:dyDescent="0.2">
      <c r="E113">
        <v>111</v>
      </c>
      <c r="F113">
        <v>7.1</v>
      </c>
      <c r="G113">
        <v>8</v>
      </c>
      <c r="H113">
        <f t="shared" si="2"/>
        <v>7.55</v>
      </c>
      <c r="Q113">
        <v>108</v>
      </c>
      <c r="S113">
        <v>107</v>
      </c>
      <c r="T113">
        <v>2.52</v>
      </c>
    </row>
    <row r="114" spans="5:20" x14ac:dyDescent="0.2">
      <c r="E114">
        <v>112</v>
      </c>
      <c r="F114">
        <v>7.1</v>
      </c>
      <c r="G114">
        <v>8</v>
      </c>
      <c r="H114">
        <f t="shared" si="2"/>
        <v>7.55</v>
      </c>
      <c r="Q114">
        <v>109</v>
      </c>
      <c r="S114">
        <v>108</v>
      </c>
      <c r="T114">
        <v>2.52</v>
      </c>
    </row>
    <row r="115" spans="5:20" x14ac:dyDescent="0.2">
      <c r="E115">
        <v>113</v>
      </c>
      <c r="F115">
        <v>7.1</v>
      </c>
      <c r="G115">
        <v>8</v>
      </c>
      <c r="H115">
        <f t="shared" si="2"/>
        <v>7.55</v>
      </c>
      <c r="Q115">
        <v>110</v>
      </c>
      <c r="S115">
        <v>109</v>
      </c>
      <c r="T115">
        <v>1.71</v>
      </c>
    </row>
    <row r="116" spans="5:20" x14ac:dyDescent="0.2">
      <c r="E116">
        <v>114</v>
      </c>
      <c r="F116">
        <v>6.1</v>
      </c>
      <c r="G116">
        <v>8</v>
      </c>
      <c r="H116">
        <f t="shared" si="2"/>
        <v>7.05</v>
      </c>
      <c r="Q116">
        <v>111</v>
      </c>
      <c r="S116">
        <v>110</v>
      </c>
      <c r="T116">
        <v>1.71</v>
      </c>
    </row>
    <row r="117" spans="5:20" x14ac:dyDescent="0.2">
      <c r="E117">
        <v>115</v>
      </c>
      <c r="F117">
        <v>6.1</v>
      </c>
      <c r="G117">
        <v>8</v>
      </c>
      <c r="H117">
        <f t="shared" si="2"/>
        <v>7.05</v>
      </c>
      <c r="Q117">
        <v>112</v>
      </c>
      <c r="S117">
        <v>111</v>
      </c>
      <c r="T117">
        <v>1.57</v>
      </c>
    </row>
    <row r="118" spans="5:20" x14ac:dyDescent="0.2">
      <c r="E118">
        <v>116</v>
      </c>
      <c r="F118">
        <v>6.5</v>
      </c>
      <c r="G118">
        <v>8.3000000000000007</v>
      </c>
      <c r="H118">
        <f t="shared" si="2"/>
        <v>7.4</v>
      </c>
      <c r="Q118">
        <v>113</v>
      </c>
      <c r="S118">
        <v>112</v>
      </c>
      <c r="T118">
        <v>1.57</v>
      </c>
    </row>
    <row r="119" spans="5:20" x14ac:dyDescent="0.2">
      <c r="E119">
        <v>117</v>
      </c>
      <c r="F119">
        <v>6.5</v>
      </c>
      <c r="G119">
        <v>8.3000000000000007</v>
      </c>
      <c r="H119">
        <f t="shared" si="2"/>
        <v>7.4</v>
      </c>
      <c r="Q119">
        <v>114</v>
      </c>
      <c r="S119">
        <v>113</v>
      </c>
      <c r="T119">
        <v>1.57</v>
      </c>
    </row>
    <row r="120" spans="5:20" x14ac:dyDescent="0.2">
      <c r="E120">
        <v>118</v>
      </c>
      <c r="F120">
        <v>6</v>
      </c>
      <c r="G120">
        <v>6.8</v>
      </c>
      <c r="H120">
        <f t="shared" si="2"/>
        <v>6.4</v>
      </c>
      <c r="Q120">
        <v>115</v>
      </c>
      <c r="S120">
        <v>114</v>
      </c>
      <c r="T120">
        <v>2.0699999999999998</v>
      </c>
    </row>
    <row r="121" spans="5:20" x14ac:dyDescent="0.2">
      <c r="E121">
        <v>119</v>
      </c>
      <c r="F121">
        <v>6</v>
      </c>
      <c r="G121">
        <v>6.8</v>
      </c>
      <c r="H121">
        <f t="shared" si="2"/>
        <v>6.4</v>
      </c>
      <c r="Q121">
        <v>116</v>
      </c>
      <c r="S121">
        <v>115</v>
      </c>
      <c r="T121">
        <v>2.0699999999999998</v>
      </c>
    </row>
    <row r="122" spans="5:20" x14ac:dyDescent="0.2">
      <c r="E122">
        <v>120</v>
      </c>
      <c r="F122">
        <v>6</v>
      </c>
      <c r="G122">
        <v>6.2</v>
      </c>
      <c r="H122">
        <f t="shared" si="2"/>
        <v>6.1</v>
      </c>
      <c r="Q122">
        <v>117</v>
      </c>
      <c r="S122">
        <v>116</v>
      </c>
      <c r="T122">
        <v>1.3</v>
      </c>
    </row>
    <row r="123" spans="5:20" x14ac:dyDescent="0.2">
      <c r="E123">
        <v>121</v>
      </c>
      <c r="F123">
        <v>6</v>
      </c>
      <c r="G123">
        <v>6.2</v>
      </c>
      <c r="H123">
        <f t="shared" si="2"/>
        <v>6.1</v>
      </c>
      <c r="Q123">
        <v>118</v>
      </c>
      <c r="S123">
        <v>117</v>
      </c>
      <c r="T123">
        <v>1.3</v>
      </c>
    </row>
    <row r="124" spans="5:20" x14ac:dyDescent="0.2">
      <c r="E124">
        <v>122</v>
      </c>
      <c r="F124">
        <v>6</v>
      </c>
      <c r="G124">
        <v>6.2</v>
      </c>
      <c r="H124">
        <f t="shared" si="2"/>
        <v>6.1</v>
      </c>
      <c r="Q124">
        <v>119</v>
      </c>
      <c r="S124">
        <v>118</v>
      </c>
      <c r="T124">
        <v>2.46</v>
      </c>
    </row>
    <row r="125" spans="5:20" x14ac:dyDescent="0.2">
      <c r="E125">
        <v>123</v>
      </c>
      <c r="F125">
        <v>5.8</v>
      </c>
      <c r="G125">
        <v>6.6</v>
      </c>
      <c r="H125">
        <f t="shared" si="2"/>
        <v>6.1999999999999993</v>
      </c>
      <c r="Q125">
        <v>120</v>
      </c>
      <c r="S125">
        <v>119</v>
      </c>
      <c r="T125">
        <v>2.46</v>
      </c>
    </row>
    <row r="126" spans="5:20" x14ac:dyDescent="0.2">
      <c r="E126">
        <v>124</v>
      </c>
      <c r="F126">
        <v>5.8</v>
      </c>
      <c r="G126">
        <v>6.6</v>
      </c>
      <c r="H126">
        <f t="shared" si="2"/>
        <v>6.1999999999999993</v>
      </c>
      <c r="I126">
        <f>AVERAGE(F126:F158)</f>
        <v>5.0606060606060623</v>
      </c>
      <c r="J126">
        <f>AVERAGE(G126:G158)</f>
        <v>5.4121212121212086</v>
      </c>
      <c r="K126">
        <f>AVERAGE(H126:H158)</f>
        <v>5.2363636363636354</v>
      </c>
      <c r="Q126">
        <v>121</v>
      </c>
      <c r="S126">
        <v>120</v>
      </c>
      <c r="T126">
        <v>2.46</v>
      </c>
    </row>
    <row r="127" spans="5:20" x14ac:dyDescent="0.2">
      <c r="E127">
        <v>125</v>
      </c>
      <c r="F127">
        <v>6</v>
      </c>
      <c r="G127">
        <v>5.5</v>
      </c>
      <c r="H127">
        <f t="shared" si="2"/>
        <v>5.75</v>
      </c>
      <c r="Q127">
        <v>122</v>
      </c>
      <c r="S127">
        <v>121</v>
      </c>
      <c r="T127">
        <v>2.4700000000000002</v>
      </c>
    </row>
    <row r="128" spans="5:20" x14ac:dyDescent="0.2">
      <c r="E128">
        <v>126</v>
      </c>
      <c r="F128">
        <v>6</v>
      </c>
      <c r="G128">
        <v>5.5</v>
      </c>
      <c r="H128">
        <f t="shared" si="2"/>
        <v>5.75</v>
      </c>
      <c r="Q128">
        <v>123</v>
      </c>
      <c r="S128">
        <v>122</v>
      </c>
      <c r="T128">
        <v>2.4700000000000002</v>
      </c>
    </row>
    <row r="129" spans="5:20" x14ac:dyDescent="0.2">
      <c r="E129">
        <v>127</v>
      </c>
      <c r="F129">
        <v>3.1</v>
      </c>
      <c r="G129">
        <v>6.2</v>
      </c>
      <c r="H129">
        <f t="shared" si="2"/>
        <v>4.6500000000000004</v>
      </c>
      <c r="Q129">
        <v>124</v>
      </c>
      <c r="S129">
        <v>123</v>
      </c>
      <c r="T129">
        <v>2.4700000000000002</v>
      </c>
    </row>
    <row r="130" spans="5:20" x14ac:dyDescent="0.2">
      <c r="E130">
        <v>128</v>
      </c>
      <c r="F130">
        <v>3.1</v>
      </c>
      <c r="G130">
        <v>6.2</v>
      </c>
      <c r="H130">
        <f t="shared" si="2"/>
        <v>4.6500000000000004</v>
      </c>
      <c r="Q130">
        <v>125</v>
      </c>
      <c r="S130">
        <v>124</v>
      </c>
      <c r="T130">
        <v>1.63</v>
      </c>
    </row>
    <row r="131" spans="5:20" x14ac:dyDescent="0.2">
      <c r="E131">
        <v>129</v>
      </c>
      <c r="F131">
        <v>3.1</v>
      </c>
      <c r="G131">
        <v>6.2</v>
      </c>
      <c r="H131">
        <f t="shared" ref="H131:H158" si="3">AVERAGE(F131:G131)</f>
        <v>4.6500000000000004</v>
      </c>
      <c r="Q131">
        <v>126</v>
      </c>
      <c r="S131">
        <v>125</v>
      </c>
      <c r="T131">
        <v>1.63</v>
      </c>
    </row>
    <row r="132" spans="5:20" x14ac:dyDescent="0.2">
      <c r="E132">
        <v>130</v>
      </c>
      <c r="F132">
        <v>8.4</v>
      </c>
      <c r="G132">
        <v>9.3000000000000007</v>
      </c>
      <c r="H132">
        <f t="shared" si="3"/>
        <v>8.8500000000000014</v>
      </c>
      <c r="Q132">
        <v>127</v>
      </c>
      <c r="S132">
        <v>126</v>
      </c>
      <c r="T132">
        <v>0.6</v>
      </c>
    </row>
    <row r="133" spans="5:20" x14ac:dyDescent="0.2">
      <c r="E133">
        <v>131</v>
      </c>
      <c r="F133">
        <v>8.4</v>
      </c>
      <c r="G133">
        <v>9.3000000000000007</v>
      </c>
      <c r="H133">
        <f t="shared" si="3"/>
        <v>8.8500000000000014</v>
      </c>
      <c r="Q133">
        <v>128</v>
      </c>
      <c r="S133">
        <v>127</v>
      </c>
      <c r="T133">
        <v>0.6</v>
      </c>
    </row>
    <row r="134" spans="5:20" x14ac:dyDescent="0.2">
      <c r="E134">
        <v>132</v>
      </c>
      <c r="F134">
        <v>8.8000000000000007</v>
      </c>
      <c r="G134">
        <v>8.4</v>
      </c>
      <c r="H134">
        <f t="shared" si="3"/>
        <v>8.6000000000000014</v>
      </c>
      <c r="Q134">
        <v>129</v>
      </c>
      <c r="S134">
        <v>128</v>
      </c>
      <c r="T134">
        <v>0.6</v>
      </c>
    </row>
    <row r="135" spans="5:20" x14ac:dyDescent="0.2">
      <c r="E135">
        <v>133</v>
      </c>
      <c r="F135">
        <v>8.8000000000000007</v>
      </c>
      <c r="G135">
        <v>8.4</v>
      </c>
      <c r="H135">
        <f t="shared" si="3"/>
        <v>8.6000000000000014</v>
      </c>
      <c r="Q135">
        <v>130</v>
      </c>
      <c r="S135">
        <v>129</v>
      </c>
      <c r="T135">
        <v>0.83</v>
      </c>
    </row>
    <row r="136" spans="5:20" x14ac:dyDescent="0.2">
      <c r="E136">
        <v>134</v>
      </c>
      <c r="F136">
        <v>8.1999999999999993</v>
      </c>
      <c r="G136">
        <v>8.1999999999999993</v>
      </c>
      <c r="H136">
        <f t="shared" si="3"/>
        <v>8.1999999999999993</v>
      </c>
      <c r="Q136">
        <v>131</v>
      </c>
      <c r="S136">
        <v>130</v>
      </c>
      <c r="T136">
        <v>0.83</v>
      </c>
    </row>
    <row r="137" spans="5:20" x14ac:dyDescent="0.2">
      <c r="E137">
        <v>135</v>
      </c>
      <c r="F137">
        <v>8.1999999999999993</v>
      </c>
      <c r="G137">
        <v>8.1999999999999993</v>
      </c>
      <c r="H137">
        <f t="shared" si="3"/>
        <v>8.1999999999999993</v>
      </c>
      <c r="Q137">
        <v>132</v>
      </c>
      <c r="S137">
        <v>131</v>
      </c>
      <c r="T137">
        <v>2.17</v>
      </c>
    </row>
    <row r="138" spans="5:20" x14ac:dyDescent="0.2">
      <c r="E138">
        <v>136</v>
      </c>
      <c r="F138">
        <v>8.1999999999999993</v>
      </c>
      <c r="G138">
        <v>8.1999999999999993</v>
      </c>
      <c r="H138">
        <f t="shared" si="3"/>
        <v>8.1999999999999993</v>
      </c>
      <c r="Q138">
        <v>133</v>
      </c>
      <c r="S138">
        <v>132</v>
      </c>
      <c r="T138">
        <v>2.17</v>
      </c>
    </row>
    <row r="139" spans="5:20" x14ac:dyDescent="0.2">
      <c r="E139">
        <v>137</v>
      </c>
      <c r="F139">
        <v>7.9</v>
      </c>
      <c r="G139">
        <v>8</v>
      </c>
      <c r="H139">
        <f t="shared" si="3"/>
        <v>7.95</v>
      </c>
      <c r="Q139">
        <v>134</v>
      </c>
      <c r="S139">
        <v>133</v>
      </c>
      <c r="T139">
        <v>2.23</v>
      </c>
    </row>
    <row r="140" spans="5:20" x14ac:dyDescent="0.2">
      <c r="E140">
        <v>138</v>
      </c>
      <c r="F140">
        <v>7.9</v>
      </c>
      <c r="G140">
        <v>8</v>
      </c>
      <c r="H140">
        <f t="shared" si="3"/>
        <v>7.95</v>
      </c>
      <c r="Q140">
        <v>135</v>
      </c>
      <c r="S140">
        <v>134</v>
      </c>
      <c r="T140">
        <v>2.23</v>
      </c>
    </row>
    <row r="141" spans="5:20" x14ac:dyDescent="0.2">
      <c r="E141">
        <v>139</v>
      </c>
      <c r="F141">
        <v>8</v>
      </c>
      <c r="G141">
        <v>8</v>
      </c>
      <c r="H141">
        <f t="shared" si="3"/>
        <v>8</v>
      </c>
      <c r="Q141">
        <v>136</v>
      </c>
      <c r="S141">
        <v>135</v>
      </c>
      <c r="T141">
        <v>2.23</v>
      </c>
    </row>
    <row r="142" spans="5:20" x14ac:dyDescent="0.2">
      <c r="E142">
        <v>140</v>
      </c>
      <c r="F142">
        <v>8</v>
      </c>
      <c r="G142">
        <v>8</v>
      </c>
      <c r="H142">
        <f t="shared" si="3"/>
        <v>8</v>
      </c>
      <c r="Q142">
        <v>137</v>
      </c>
      <c r="S142">
        <v>136</v>
      </c>
      <c r="T142">
        <v>1.33</v>
      </c>
    </row>
    <row r="143" spans="5:20" x14ac:dyDescent="0.2">
      <c r="E143">
        <v>141</v>
      </c>
      <c r="F143">
        <v>6.5</v>
      </c>
      <c r="G143">
        <v>6.7</v>
      </c>
      <c r="H143">
        <f t="shared" si="3"/>
        <v>6.6</v>
      </c>
      <c r="Q143">
        <v>138</v>
      </c>
      <c r="S143">
        <v>137</v>
      </c>
      <c r="T143">
        <v>1.33</v>
      </c>
    </row>
    <row r="144" spans="5:20" x14ac:dyDescent="0.2">
      <c r="E144">
        <v>142</v>
      </c>
      <c r="F144">
        <v>6.5</v>
      </c>
      <c r="G144">
        <v>6.7</v>
      </c>
      <c r="H144">
        <f t="shared" si="3"/>
        <v>6.6</v>
      </c>
      <c r="Q144">
        <v>139</v>
      </c>
      <c r="S144">
        <v>138</v>
      </c>
      <c r="T144">
        <v>2.2599999999999998</v>
      </c>
    </row>
    <row r="145" spans="5:20" x14ac:dyDescent="0.2">
      <c r="E145">
        <v>143</v>
      </c>
      <c r="F145">
        <v>6.5</v>
      </c>
      <c r="G145">
        <v>6.7</v>
      </c>
      <c r="H145">
        <f t="shared" si="3"/>
        <v>6.6</v>
      </c>
      <c r="Q145">
        <v>140</v>
      </c>
      <c r="S145">
        <v>139</v>
      </c>
      <c r="T145">
        <v>2.2599999999999998</v>
      </c>
    </row>
    <row r="146" spans="5:20" x14ac:dyDescent="0.2">
      <c r="E146">
        <v>144</v>
      </c>
      <c r="F146">
        <v>5.9</v>
      </c>
      <c r="G146">
        <v>6</v>
      </c>
      <c r="H146">
        <f t="shared" si="3"/>
        <v>5.95</v>
      </c>
      <c r="Q146">
        <v>141</v>
      </c>
      <c r="S146">
        <v>140</v>
      </c>
      <c r="T146">
        <v>2.34</v>
      </c>
    </row>
    <row r="147" spans="5:20" x14ac:dyDescent="0.2">
      <c r="E147">
        <v>145</v>
      </c>
      <c r="F147">
        <v>5.9</v>
      </c>
      <c r="G147">
        <v>6</v>
      </c>
      <c r="H147">
        <f t="shared" si="3"/>
        <v>5.95</v>
      </c>
      <c r="Q147">
        <v>142</v>
      </c>
      <c r="S147">
        <v>141</v>
      </c>
      <c r="T147">
        <v>2.34</v>
      </c>
    </row>
    <row r="148" spans="5:20" x14ac:dyDescent="0.2">
      <c r="E148">
        <v>146</v>
      </c>
      <c r="F148">
        <v>4</v>
      </c>
      <c r="G148">
        <v>4.2</v>
      </c>
      <c r="H148">
        <f t="shared" si="3"/>
        <v>4.0999999999999996</v>
      </c>
      <c r="Q148">
        <v>143</v>
      </c>
      <c r="S148">
        <v>142</v>
      </c>
      <c r="T148">
        <v>2.34</v>
      </c>
    </row>
    <row r="149" spans="5:20" x14ac:dyDescent="0.2">
      <c r="E149">
        <v>147</v>
      </c>
      <c r="F149">
        <v>4</v>
      </c>
      <c r="G149">
        <v>4.2</v>
      </c>
      <c r="H149">
        <f t="shared" si="3"/>
        <v>4.0999999999999996</v>
      </c>
      <c r="Q149">
        <v>144</v>
      </c>
      <c r="S149">
        <v>143</v>
      </c>
      <c r="T149">
        <v>0.52</v>
      </c>
    </row>
    <row r="150" spans="5:20" x14ac:dyDescent="0.2">
      <c r="E150">
        <v>148</v>
      </c>
      <c r="F150">
        <v>2.2000000000000002</v>
      </c>
      <c r="G150">
        <v>2.1</v>
      </c>
      <c r="H150">
        <f t="shared" si="3"/>
        <v>2.1500000000000004</v>
      </c>
      <c r="Q150">
        <v>145</v>
      </c>
      <c r="S150">
        <v>144</v>
      </c>
      <c r="T150">
        <v>0.52</v>
      </c>
    </row>
    <row r="151" spans="5:20" x14ac:dyDescent="0.2">
      <c r="E151">
        <v>149</v>
      </c>
      <c r="F151">
        <v>2.2000000000000002</v>
      </c>
      <c r="G151">
        <v>2.1</v>
      </c>
      <c r="H151">
        <f t="shared" si="3"/>
        <v>2.1500000000000004</v>
      </c>
      <c r="Q151">
        <v>146</v>
      </c>
      <c r="S151">
        <v>145</v>
      </c>
      <c r="T151">
        <v>2.92</v>
      </c>
    </row>
    <row r="152" spans="5:20" x14ac:dyDescent="0.2">
      <c r="E152">
        <v>150</v>
      </c>
      <c r="F152">
        <v>2.2000000000000002</v>
      </c>
      <c r="G152">
        <v>2.1</v>
      </c>
      <c r="H152">
        <f t="shared" si="3"/>
        <v>2.1500000000000004</v>
      </c>
      <c r="Q152">
        <v>147</v>
      </c>
      <c r="S152">
        <v>146</v>
      </c>
      <c r="T152">
        <v>2.92</v>
      </c>
    </row>
    <row r="153" spans="5:20" x14ac:dyDescent="0.2">
      <c r="E153">
        <v>151</v>
      </c>
      <c r="F153">
        <v>0.4</v>
      </c>
      <c r="G153">
        <v>0.6</v>
      </c>
      <c r="H153">
        <f t="shared" si="3"/>
        <v>0.5</v>
      </c>
      <c r="Q153">
        <v>148</v>
      </c>
      <c r="S153">
        <v>147</v>
      </c>
      <c r="T153">
        <v>0.14000000000000001</v>
      </c>
    </row>
    <row r="154" spans="5:20" x14ac:dyDescent="0.2">
      <c r="E154">
        <v>152</v>
      </c>
      <c r="F154">
        <v>0.4</v>
      </c>
      <c r="G154">
        <v>0.6</v>
      </c>
      <c r="H154">
        <f t="shared" si="3"/>
        <v>0.5</v>
      </c>
      <c r="Q154">
        <v>149</v>
      </c>
      <c r="S154">
        <v>148</v>
      </c>
      <c r="T154">
        <v>0.14000000000000001</v>
      </c>
    </row>
    <row r="155" spans="5:20" x14ac:dyDescent="0.2">
      <c r="E155">
        <v>153</v>
      </c>
      <c r="F155">
        <v>0.4</v>
      </c>
      <c r="G155">
        <v>0.6</v>
      </c>
      <c r="H155">
        <f t="shared" si="3"/>
        <v>0.5</v>
      </c>
      <c r="Q155">
        <v>150</v>
      </c>
      <c r="S155">
        <v>149</v>
      </c>
      <c r="T155">
        <v>0.14000000000000001</v>
      </c>
    </row>
    <row r="156" spans="5:20" x14ac:dyDescent="0.2">
      <c r="E156">
        <v>154</v>
      </c>
      <c r="F156">
        <v>0.4</v>
      </c>
      <c r="G156">
        <v>0.6</v>
      </c>
      <c r="H156">
        <f t="shared" si="3"/>
        <v>0.5</v>
      </c>
      <c r="Q156">
        <v>151</v>
      </c>
      <c r="S156">
        <v>150</v>
      </c>
      <c r="T156">
        <v>0.93</v>
      </c>
    </row>
    <row r="157" spans="5:20" x14ac:dyDescent="0.2">
      <c r="E157">
        <v>155</v>
      </c>
      <c r="F157">
        <v>0.8</v>
      </c>
      <c r="G157">
        <v>0.6</v>
      </c>
      <c r="H157">
        <f t="shared" si="3"/>
        <v>0.7</v>
      </c>
      <c r="Q157">
        <v>152</v>
      </c>
      <c r="S157">
        <v>151</v>
      </c>
      <c r="T157">
        <v>0.93</v>
      </c>
    </row>
    <row r="158" spans="5:20" x14ac:dyDescent="0.2">
      <c r="E158">
        <v>156</v>
      </c>
      <c r="F158">
        <v>0.8</v>
      </c>
      <c r="G158">
        <v>0.6</v>
      </c>
      <c r="H158">
        <f t="shared" si="3"/>
        <v>0.7</v>
      </c>
      <c r="Q158">
        <v>153</v>
      </c>
      <c r="S158">
        <v>152</v>
      </c>
      <c r="T158">
        <v>1.05</v>
      </c>
    </row>
    <row r="159" spans="5:20" x14ac:dyDescent="0.2">
      <c r="E159">
        <v>157</v>
      </c>
      <c r="Q159">
        <v>154</v>
      </c>
      <c r="S159">
        <v>153</v>
      </c>
      <c r="T159">
        <v>1.05</v>
      </c>
    </row>
    <row r="160" spans="5:20" x14ac:dyDescent="0.2">
      <c r="E160">
        <v>158</v>
      </c>
      <c r="Q160">
        <v>155</v>
      </c>
      <c r="S160">
        <v>154</v>
      </c>
      <c r="T160">
        <v>0.48</v>
      </c>
    </row>
    <row r="161" spans="5:20" x14ac:dyDescent="0.2">
      <c r="E161">
        <v>159</v>
      </c>
      <c r="Q161">
        <v>156</v>
      </c>
      <c r="S161">
        <v>155</v>
      </c>
      <c r="T161">
        <v>0.48</v>
      </c>
    </row>
    <row r="162" spans="5:20" x14ac:dyDescent="0.2">
      <c r="S162">
        <v>156</v>
      </c>
      <c r="T162">
        <v>7.0000000000000007E-2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M53"/>
  <sheetViews>
    <sheetView workbookViewId="0">
      <selection activeCell="C38" sqref="C38"/>
    </sheetView>
  </sheetViews>
  <sheetFormatPr baseColWidth="10" defaultRowHeight="15" x14ac:dyDescent="0.2"/>
  <cols>
    <col min="4" max="4" width="20" customWidth="1"/>
  </cols>
  <sheetData>
    <row r="4" spans="1:13" x14ac:dyDescent="0.2">
      <c r="A4" t="s">
        <v>150</v>
      </c>
      <c r="B4" t="s">
        <v>151</v>
      </c>
      <c r="C4" t="s">
        <v>152</v>
      </c>
      <c r="D4" t="s">
        <v>153</v>
      </c>
    </row>
    <row r="5" spans="1:13" x14ac:dyDescent="0.2">
      <c r="A5" s="30">
        <v>44286</v>
      </c>
      <c r="B5">
        <v>0</v>
      </c>
    </row>
    <row r="6" spans="1:13" x14ac:dyDescent="0.2">
      <c r="A6" s="30">
        <v>44288</v>
      </c>
      <c r="B6">
        <v>2</v>
      </c>
    </row>
    <row r="7" spans="1:13" x14ac:dyDescent="0.2">
      <c r="A7" s="30">
        <v>44291</v>
      </c>
      <c r="B7">
        <v>5</v>
      </c>
    </row>
    <row r="8" spans="1:13" x14ac:dyDescent="0.2">
      <c r="A8" s="30">
        <v>44293</v>
      </c>
      <c r="B8">
        <v>7</v>
      </c>
      <c r="J8" s="30">
        <v>44340</v>
      </c>
      <c r="K8">
        <v>54</v>
      </c>
      <c r="L8">
        <v>34.92</v>
      </c>
      <c r="M8">
        <v>571</v>
      </c>
    </row>
    <row r="9" spans="1:13" x14ac:dyDescent="0.2">
      <c r="A9" s="30">
        <v>44295</v>
      </c>
      <c r="B9">
        <v>9</v>
      </c>
      <c r="J9" s="30">
        <v>44341</v>
      </c>
      <c r="K9">
        <v>55</v>
      </c>
      <c r="L9">
        <v>34.92</v>
      </c>
      <c r="M9">
        <v>571</v>
      </c>
    </row>
    <row r="10" spans="1:13" x14ac:dyDescent="0.2">
      <c r="A10" s="30">
        <v>44298</v>
      </c>
      <c r="B10">
        <v>12</v>
      </c>
      <c r="J10" s="30">
        <v>44342</v>
      </c>
      <c r="K10">
        <v>56</v>
      </c>
      <c r="L10">
        <v>34.92</v>
      </c>
      <c r="M10">
        <v>571</v>
      </c>
    </row>
    <row r="11" spans="1:13" x14ac:dyDescent="0.2">
      <c r="A11" s="30">
        <v>44300</v>
      </c>
      <c r="B11">
        <v>14</v>
      </c>
      <c r="J11" s="30">
        <v>44343</v>
      </c>
      <c r="K11">
        <v>57</v>
      </c>
      <c r="L11">
        <v>34.92</v>
      </c>
      <c r="M11">
        <v>571</v>
      </c>
    </row>
    <row r="12" spans="1:13" x14ac:dyDescent="0.2">
      <c r="A12" s="30">
        <v>44302</v>
      </c>
      <c r="B12">
        <v>16</v>
      </c>
      <c r="J12" s="30">
        <v>44344</v>
      </c>
      <c r="K12">
        <v>58</v>
      </c>
      <c r="L12">
        <v>34.92</v>
      </c>
      <c r="M12">
        <v>571</v>
      </c>
    </row>
    <row r="13" spans="1:13" x14ac:dyDescent="0.2">
      <c r="A13" s="30">
        <v>44305</v>
      </c>
      <c r="B13">
        <v>19</v>
      </c>
      <c r="J13" s="30">
        <v>44345</v>
      </c>
      <c r="K13">
        <v>59</v>
      </c>
      <c r="L13">
        <v>34.92</v>
      </c>
      <c r="M13">
        <v>571</v>
      </c>
    </row>
    <row r="14" spans="1:13" x14ac:dyDescent="0.2">
      <c r="A14" s="30">
        <v>44307</v>
      </c>
      <c r="B14">
        <v>21</v>
      </c>
      <c r="J14" s="30">
        <v>44346</v>
      </c>
      <c r="K14">
        <v>60</v>
      </c>
      <c r="L14">
        <v>34.92</v>
      </c>
      <c r="M14">
        <v>571</v>
      </c>
    </row>
    <row r="15" spans="1:13" x14ac:dyDescent="0.2">
      <c r="A15" s="30">
        <v>44309</v>
      </c>
      <c r="B15">
        <v>23</v>
      </c>
      <c r="J15" s="30">
        <v>44347</v>
      </c>
      <c r="K15">
        <v>63</v>
      </c>
      <c r="L15">
        <v>30.94</v>
      </c>
      <c r="M15">
        <v>785</v>
      </c>
    </row>
    <row r="16" spans="1:13" x14ac:dyDescent="0.2">
      <c r="A16" s="30">
        <v>44312</v>
      </c>
      <c r="B16">
        <v>26</v>
      </c>
      <c r="J16" s="30">
        <v>44348</v>
      </c>
      <c r="K16">
        <v>64</v>
      </c>
      <c r="L16">
        <v>30.94</v>
      </c>
      <c r="M16">
        <v>785</v>
      </c>
    </row>
    <row r="17" spans="1:13" x14ac:dyDescent="0.2">
      <c r="A17" s="30">
        <v>44314</v>
      </c>
      <c r="B17">
        <v>28</v>
      </c>
      <c r="J17" s="30">
        <v>44349</v>
      </c>
      <c r="K17">
        <v>65</v>
      </c>
      <c r="L17">
        <v>30.94</v>
      </c>
      <c r="M17">
        <v>785</v>
      </c>
    </row>
    <row r="18" spans="1:13" x14ac:dyDescent="0.2">
      <c r="A18" s="30">
        <v>44316</v>
      </c>
      <c r="B18">
        <v>30</v>
      </c>
      <c r="J18" s="30">
        <v>44350</v>
      </c>
      <c r="K18">
        <v>66</v>
      </c>
      <c r="L18">
        <v>30.94</v>
      </c>
      <c r="M18">
        <v>785</v>
      </c>
    </row>
    <row r="19" spans="1:13" x14ac:dyDescent="0.2">
      <c r="A19" s="30">
        <v>44319</v>
      </c>
      <c r="B19">
        <v>33</v>
      </c>
      <c r="J19" s="30">
        <v>44351</v>
      </c>
      <c r="K19">
        <v>67</v>
      </c>
      <c r="L19">
        <v>30.94</v>
      </c>
      <c r="M19">
        <v>785</v>
      </c>
    </row>
    <row r="20" spans="1:13" x14ac:dyDescent="0.2">
      <c r="A20" s="30">
        <v>44321</v>
      </c>
      <c r="B20">
        <v>35</v>
      </c>
      <c r="J20" s="30">
        <v>44352</v>
      </c>
      <c r="K20">
        <v>68</v>
      </c>
      <c r="L20">
        <v>30.94</v>
      </c>
      <c r="M20">
        <v>785</v>
      </c>
    </row>
    <row r="21" spans="1:13" x14ac:dyDescent="0.2">
      <c r="A21" s="30">
        <v>44323</v>
      </c>
      <c r="B21">
        <v>37</v>
      </c>
      <c r="J21" s="30">
        <v>44353</v>
      </c>
      <c r="K21">
        <v>69</v>
      </c>
      <c r="L21">
        <v>30.94</v>
      </c>
      <c r="M21">
        <v>785</v>
      </c>
    </row>
    <row r="22" spans="1:13" x14ac:dyDescent="0.2">
      <c r="A22" s="30">
        <v>44326</v>
      </c>
      <c r="B22">
        <v>40</v>
      </c>
      <c r="J22" s="30">
        <v>44354</v>
      </c>
      <c r="K22">
        <v>70</v>
      </c>
    </row>
    <row r="23" spans="1:13" x14ac:dyDescent="0.2">
      <c r="A23" s="30">
        <v>44328</v>
      </c>
      <c r="B23">
        <v>42</v>
      </c>
      <c r="J23" s="30">
        <v>44355</v>
      </c>
      <c r="K23">
        <v>71</v>
      </c>
    </row>
    <row r="24" spans="1:13" x14ac:dyDescent="0.2">
      <c r="A24" s="30">
        <v>44330</v>
      </c>
      <c r="B24">
        <v>44</v>
      </c>
      <c r="J24" s="30">
        <v>44356</v>
      </c>
      <c r="K24">
        <v>72</v>
      </c>
    </row>
    <row r="25" spans="1:13" x14ac:dyDescent="0.2">
      <c r="A25" s="30">
        <v>44333</v>
      </c>
      <c r="B25">
        <v>47</v>
      </c>
      <c r="J25" s="30">
        <v>44357</v>
      </c>
      <c r="K25">
        <v>73</v>
      </c>
    </row>
    <row r="26" spans="1:13" x14ac:dyDescent="0.2">
      <c r="A26" s="30">
        <v>44335</v>
      </c>
      <c r="B26">
        <v>49</v>
      </c>
      <c r="J26" s="30">
        <v>44358</v>
      </c>
      <c r="K26">
        <v>74</v>
      </c>
    </row>
    <row r="27" spans="1:13" x14ac:dyDescent="0.2">
      <c r="A27" s="30">
        <v>44337</v>
      </c>
      <c r="B27">
        <v>51</v>
      </c>
      <c r="J27" s="30">
        <v>44359</v>
      </c>
      <c r="K27">
        <v>75</v>
      </c>
    </row>
    <row r="28" spans="1:13" x14ac:dyDescent="0.2">
      <c r="A28" s="30">
        <v>44340</v>
      </c>
      <c r="B28">
        <v>54</v>
      </c>
      <c r="J28" s="30">
        <v>44360</v>
      </c>
      <c r="K28">
        <v>76</v>
      </c>
    </row>
    <row r="29" spans="1:13" x14ac:dyDescent="0.2">
      <c r="A29" s="30">
        <v>44342</v>
      </c>
      <c r="B29">
        <v>56</v>
      </c>
      <c r="J29" s="30">
        <v>44361</v>
      </c>
      <c r="K29">
        <v>77</v>
      </c>
    </row>
    <row r="30" spans="1:13" x14ac:dyDescent="0.2">
      <c r="A30" s="30">
        <v>44344</v>
      </c>
      <c r="B30">
        <v>58</v>
      </c>
    </row>
    <row r="31" spans="1:13" x14ac:dyDescent="0.2">
      <c r="A31" s="30">
        <v>44347</v>
      </c>
      <c r="B31">
        <v>61</v>
      </c>
    </row>
    <row r="32" spans="1:13" x14ac:dyDescent="0.2">
      <c r="A32" s="30">
        <v>44349</v>
      </c>
      <c r="B32">
        <v>63</v>
      </c>
    </row>
    <row r="33" spans="1:2" x14ac:dyDescent="0.2">
      <c r="A33" s="30">
        <v>44351</v>
      </c>
      <c r="B33">
        <v>65</v>
      </c>
    </row>
    <row r="34" spans="1:2" x14ac:dyDescent="0.2">
      <c r="A34" s="30">
        <v>44354</v>
      </c>
      <c r="B34">
        <v>68</v>
      </c>
    </row>
    <row r="35" spans="1:2" x14ac:dyDescent="0.2">
      <c r="A35" s="30">
        <v>44356</v>
      </c>
      <c r="B35">
        <v>70</v>
      </c>
    </row>
    <row r="36" spans="1:2" x14ac:dyDescent="0.2">
      <c r="A36" s="30">
        <v>44358</v>
      </c>
      <c r="B36">
        <v>72</v>
      </c>
    </row>
    <row r="37" spans="1:2" x14ac:dyDescent="0.2">
      <c r="A37" s="30">
        <v>44361</v>
      </c>
      <c r="B37">
        <v>75</v>
      </c>
    </row>
    <row r="38" spans="1:2" x14ac:dyDescent="0.2">
      <c r="A38" s="30">
        <v>44363</v>
      </c>
      <c r="B38">
        <v>77</v>
      </c>
    </row>
    <row r="39" spans="1:2" x14ac:dyDescent="0.2">
      <c r="A39" s="30">
        <v>44365</v>
      </c>
      <c r="B39">
        <v>79</v>
      </c>
    </row>
    <row r="40" spans="1:2" x14ac:dyDescent="0.2">
      <c r="A40" s="30">
        <v>44368</v>
      </c>
      <c r="B40">
        <v>82</v>
      </c>
    </row>
    <row r="41" spans="1:2" x14ac:dyDescent="0.2">
      <c r="A41" s="30">
        <v>44370</v>
      </c>
      <c r="B41">
        <v>84</v>
      </c>
    </row>
    <row r="42" spans="1:2" x14ac:dyDescent="0.2">
      <c r="A42" s="30">
        <v>44372</v>
      </c>
      <c r="B42">
        <v>86</v>
      </c>
    </row>
    <row r="43" spans="1:2" x14ac:dyDescent="0.2">
      <c r="A43" s="30">
        <v>44375</v>
      </c>
      <c r="B43">
        <v>89</v>
      </c>
    </row>
    <row r="44" spans="1:2" x14ac:dyDescent="0.2">
      <c r="A44" s="30">
        <v>44377</v>
      </c>
      <c r="B44">
        <v>91</v>
      </c>
    </row>
    <row r="45" spans="1:2" x14ac:dyDescent="0.2">
      <c r="A45" s="30">
        <v>44379</v>
      </c>
      <c r="B45">
        <v>93</v>
      </c>
    </row>
    <row r="46" spans="1:2" x14ac:dyDescent="0.2">
      <c r="A46" s="30">
        <v>44382</v>
      </c>
      <c r="B46">
        <v>96</v>
      </c>
    </row>
    <row r="47" spans="1:2" x14ac:dyDescent="0.2">
      <c r="A47" s="30">
        <v>44384</v>
      </c>
      <c r="B47">
        <v>98</v>
      </c>
    </row>
    <row r="48" spans="1:2" x14ac:dyDescent="0.2">
      <c r="A48" s="30">
        <v>44417</v>
      </c>
      <c r="B48">
        <v>100</v>
      </c>
    </row>
    <row r="49" spans="1:2" x14ac:dyDescent="0.2">
      <c r="A49" s="30">
        <v>44419</v>
      </c>
      <c r="B49">
        <v>102</v>
      </c>
    </row>
    <row r="50" spans="1:2" x14ac:dyDescent="0.2">
      <c r="A50" s="30">
        <v>44421</v>
      </c>
      <c r="B50">
        <v>104</v>
      </c>
    </row>
    <row r="51" spans="1:2" x14ac:dyDescent="0.2">
      <c r="A51" s="30">
        <v>44424</v>
      </c>
      <c r="B51">
        <v>107</v>
      </c>
    </row>
    <row r="52" spans="1:2" x14ac:dyDescent="0.2">
      <c r="A52" s="30">
        <v>44426</v>
      </c>
      <c r="B52">
        <v>109</v>
      </c>
    </row>
    <row r="53" spans="1:2" x14ac:dyDescent="0.2">
      <c r="A53" s="30">
        <v>44428</v>
      </c>
      <c r="B53">
        <v>111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L53"/>
  <sheetViews>
    <sheetView zoomScale="55" workbookViewId="0">
      <selection activeCell="H42" sqref="H42"/>
    </sheetView>
  </sheetViews>
  <sheetFormatPr baseColWidth="10" defaultRowHeight="15" x14ac:dyDescent="0.2"/>
  <cols>
    <col min="4" max="4" width="23" customWidth="1"/>
  </cols>
  <sheetData>
    <row r="4" spans="1:12" x14ac:dyDescent="0.2">
      <c r="A4" t="s">
        <v>150</v>
      </c>
      <c r="B4" t="s">
        <v>151</v>
      </c>
      <c r="C4" t="s">
        <v>152</v>
      </c>
      <c r="D4" t="s">
        <v>154</v>
      </c>
    </row>
    <row r="5" spans="1:12" x14ac:dyDescent="0.2">
      <c r="A5" s="30">
        <v>44286</v>
      </c>
      <c r="B5">
        <v>0</v>
      </c>
    </row>
    <row r="6" spans="1:12" x14ac:dyDescent="0.2">
      <c r="A6" s="30">
        <v>44288</v>
      </c>
      <c r="B6">
        <v>2</v>
      </c>
    </row>
    <row r="7" spans="1:12" x14ac:dyDescent="0.2">
      <c r="A7" s="30">
        <v>44291</v>
      </c>
      <c r="B7">
        <v>5</v>
      </c>
      <c r="I7" s="30">
        <v>44340</v>
      </c>
      <c r="J7">
        <v>54</v>
      </c>
      <c r="K7">
        <v>30.25</v>
      </c>
      <c r="L7">
        <v>642</v>
      </c>
    </row>
    <row r="8" spans="1:12" x14ac:dyDescent="0.2">
      <c r="A8" s="30">
        <v>44293</v>
      </c>
      <c r="B8">
        <v>7</v>
      </c>
      <c r="I8" s="30">
        <v>44341</v>
      </c>
      <c r="J8">
        <v>55</v>
      </c>
      <c r="K8">
        <v>30.25</v>
      </c>
      <c r="L8">
        <v>642</v>
      </c>
    </row>
    <row r="9" spans="1:12" x14ac:dyDescent="0.2">
      <c r="A9" s="30">
        <v>44295</v>
      </c>
      <c r="B9">
        <v>9</v>
      </c>
      <c r="I9" s="30">
        <v>44342</v>
      </c>
      <c r="J9">
        <v>56</v>
      </c>
      <c r="K9">
        <v>30.25</v>
      </c>
      <c r="L9">
        <v>642</v>
      </c>
    </row>
    <row r="10" spans="1:12" x14ac:dyDescent="0.2">
      <c r="A10" s="30">
        <v>44298</v>
      </c>
      <c r="B10">
        <v>12</v>
      </c>
      <c r="I10" s="30">
        <v>44343</v>
      </c>
      <c r="J10">
        <v>57</v>
      </c>
      <c r="K10">
        <v>30.25</v>
      </c>
      <c r="L10">
        <v>642</v>
      </c>
    </row>
    <row r="11" spans="1:12" x14ac:dyDescent="0.2">
      <c r="A11" s="30">
        <v>44300</v>
      </c>
      <c r="B11">
        <v>14</v>
      </c>
      <c r="I11" s="30">
        <v>44344</v>
      </c>
      <c r="J11">
        <v>58</v>
      </c>
      <c r="K11">
        <v>30.25</v>
      </c>
      <c r="L11">
        <v>642</v>
      </c>
    </row>
    <row r="12" spans="1:12" x14ac:dyDescent="0.2">
      <c r="A12" s="30">
        <v>44302</v>
      </c>
      <c r="B12">
        <v>16</v>
      </c>
      <c r="I12" s="30">
        <v>44345</v>
      </c>
      <c r="J12">
        <v>59</v>
      </c>
      <c r="K12">
        <v>30.25</v>
      </c>
      <c r="L12">
        <v>642</v>
      </c>
    </row>
    <row r="13" spans="1:12" x14ac:dyDescent="0.2">
      <c r="A13" s="30">
        <v>44305</v>
      </c>
      <c r="B13">
        <v>19</v>
      </c>
      <c r="I13" s="30">
        <v>44346</v>
      </c>
      <c r="J13">
        <v>60</v>
      </c>
      <c r="K13">
        <v>30.25</v>
      </c>
      <c r="L13">
        <v>642</v>
      </c>
    </row>
    <row r="14" spans="1:12" x14ac:dyDescent="0.2">
      <c r="A14" s="30">
        <v>44307</v>
      </c>
      <c r="B14">
        <v>21</v>
      </c>
      <c r="I14" s="30">
        <v>44347</v>
      </c>
      <c r="J14">
        <v>63</v>
      </c>
      <c r="K14">
        <v>33.200000000000003</v>
      </c>
      <c r="L14">
        <v>857</v>
      </c>
    </row>
    <row r="15" spans="1:12" x14ac:dyDescent="0.2">
      <c r="A15" s="30">
        <v>44309</v>
      </c>
      <c r="B15">
        <v>23</v>
      </c>
      <c r="I15" s="30">
        <v>44348</v>
      </c>
      <c r="J15">
        <v>64</v>
      </c>
      <c r="K15">
        <v>33.200000000000003</v>
      </c>
      <c r="L15">
        <v>857</v>
      </c>
    </row>
    <row r="16" spans="1:12" x14ac:dyDescent="0.2">
      <c r="A16" s="30">
        <v>44312</v>
      </c>
      <c r="B16">
        <v>26</v>
      </c>
      <c r="I16" s="30">
        <v>44349</v>
      </c>
      <c r="J16">
        <v>65</v>
      </c>
      <c r="K16">
        <v>33.200000000000003</v>
      </c>
      <c r="L16">
        <v>857</v>
      </c>
    </row>
    <row r="17" spans="1:12" x14ac:dyDescent="0.2">
      <c r="A17" s="30">
        <v>44314</v>
      </c>
      <c r="B17">
        <v>28</v>
      </c>
      <c r="I17" s="30">
        <v>44350</v>
      </c>
      <c r="J17">
        <v>66</v>
      </c>
      <c r="K17">
        <v>33.200000000000003</v>
      </c>
      <c r="L17">
        <v>857</v>
      </c>
    </row>
    <row r="18" spans="1:12" x14ac:dyDescent="0.2">
      <c r="A18" s="30">
        <v>44316</v>
      </c>
      <c r="B18">
        <v>30</v>
      </c>
      <c r="I18" s="30">
        <v>44351</v>
      </c>
      <c r="J18">
        <v>67</v>
      </c>
      <c r="K18">
        <v>33.200000000000003</v>
      </c>
      <c r="L18">
        <v>857</v>
      </c>
    </row>
    <row r="19" spans="1:12" x14ac:dyDescent="0.2">
      <c r="A19" s="30">
        <v>44319</v>
      </c>
      <c r="B19">
        <v>33</v>
      </c>
      <c r="I19" s="30">
        <v>44352</v>
      </c>
      <c r="J19">
        <v>68</v>
      </c>
      <c r="K19">
        <v>33.200000000000003</v>
      </c>
      <c r="L19">
        <v>857</v>
      </c>
    </row>
    <row r="20" spans="1:12" x14ac:dyDescent="0.2">
      <c r="A20" s="30">
        <v>44321</v>
      </c>
      <c r="B20">
        <v>35</v>
      </c>
      <c r="I20" s="30">
        <v>44353</v>
      </c>
      <c r="J20">
        <v>69</v>
      </c>
      <c r="K20">
        <v>33.200000000000003</v>
      </c>
      <c r="L20">
        <v>857</v>
      </c>
    </row>
    <row r="21" spans="1:12" x14ac:dyDescent="0.2">
      <c r="A21" s="30">
        <v>44323</v>
      </c>
      <c r="B21">
        <v>37</v>
      </c>
      <c r="I21" s="30">
        <v>44354</v>
      </c>
      <c r="J21">
        <v>70</v>
      </c>
    </row>
    <row r="22" spans="1:12" x14ac:dyDescent="0.2">
      <c r="A22" s="30">
        <v>44326</v>
      </c>
      <c r="B22">
        <v>40</v>
      </c>
      <c r="I22" s="30">
        <v>44355</v>
      </c>
      <c r="J22">
        <v>71</v>
      </c>
    </row>
    <row r="23" spans="1:12" x14ac:dyDescent="0.2">
      <c r="A23" s="30">
        <v>44328</v>
      </c>
      <c r="B23">
        <v>42</v>
      </c>
      <c r="I23" s="30">
        <v>44356</v>
      </c>
      <c r="J23">
        <v>72</v>
      </c>
    </row>
    <row r="24" spans="1:12" x14ac:dyDescent="0.2">
      <c r="A24" s="30">
        <v>44330</v>
      </c>
      <c r="B24">
        <v>44</v>
      </c>
      <c r="I24" s="30">
        <v>44357</v>
      </c>
      <c r="J24">
        <v>73</v>
      </c>
    </row>
    <row r="25" spans="1:12" x14ac:dyDescent="0.2">
      <c r="A25" s="30">
        <v>44333</v>
      </c>
      <c r="B25">
        <v>47</v>
      </c>
      <c r="I25" s="30">
        <v>44358</v>
      </c>
      <c r="J25">
        <v>74</v>
      </c>
    </row>
    <row r="26" spans="1:12" x14ac:dyDescent="0.2">
      <c r="A26" s="30">
        <v>44335</v>
      </c>
      <c r="B26">
        <v>49</v>
      </c>
      <c r="I26" s="30">
        <v>44359</v>
      </c>
      <c r="J26">
        <v>75</v>
      </c>
    </row>
    <row r="27" spans="1:12" x14ac:dyDescent="0.2">
      <c r="A27" s="30">
        <v>44337</v>
      </c>
      <c r="B27">
        <v>51</v>
      </c>
      <c r="I27" s="30">
        <v>44360</v>
      </c>
      <c r="J27">
        <v>76</v>
      </c>
    </row>
    <row r="28" spans="1:12" x14ac:dyDescent="0.2">
      <c r="A28" s="30">
        <v>44340</v>
      </c>
      <c r="B28">
        <v>54</v>
      </c>
      <c r="I28" s="30">
        <v>44361</v>
      </c>
      <c r="J28">
        <v>77</v>
      </c>
    </row>
    <row r="29" spans="1:12" x14ac:dyDescent="0.2">
      <c r="A29" s="30">
        <v>44342</v>
      </c>
      <c r="B29">
        <v>56</v>
      </c>
      <c r="I29" s="30">
        <v>44362</v>
      </c>
      <c r="J29">
        <v>78</v>
      </c>
    </row>
    <row r="30" spans="1:12" x14ac:dyDescent="0.2">
      <c r="A30" s="30">
        <v>44344</v>
      </c>
      <c r="B30">
        <v>58</v>
      </c>
    </row>
    <row r="31" spans="1:12" x14ac:dyDescent="0.2">
      <c r="A31" s="30">
        <v>44347</v>
      </c>
      <c r="B31">
        <v>61</v>
      </c>
    </row>
    <row r="32" spans="1:12" x14ac:dyDescent="0.2">
      <c r="A32" s="30">
        <v>44349</v>
      </c>
      <c r="B32">
        <v>63</v>
      </c>
    </row>
    <row r="33" spans="1:2" x14ac:dyDescent="0.2">
      <c r="A33" s="30">
        <v>44351</v>
      </c>
      <c r="B33">
        <v>65</v>
      </c>
    </row>
    <row r="34" spans="1:2" x14ac:dyDescent="0.2">
      <c r="A34" s="30">
        <v>44354</v>
      </c>
      <c r="B34">
        <v>68</v>
      </c>
    </row>
    <row r="35" spans="1:2" x14ac:dyDescent="0.2">
      <c r="A35" s="30">
        <v>44356</v>
      </c>
      <c r="B35">
        <v>70</v>
      </c>
    </row>
    <row r="36" spans="1:2" x14ac:dyDescent="0.2">
      <c r="A36" s="30">
        <v>44358</v>
      </c>
      <c r="B36">
        <v>72</v>
      </c>
    </row>
    <row r="37" spans="1:2" x14ac:dyDescent="0.2">
      <c r="A37" s="30">
        <v>44361</v>
      </c>
      <c r="B37">
        <v>75</v>
      </c>
    </row>
    <row r="38" spans="1:2" x14ac:dyDescent="0.2">
      <c r="A38" s="30">
        <v>44363</v>
      </c>
      <c r="B38">
        <v>77</v>
      </c>
    </row>
    <row r="39" spans="1:2" x14ac:dyDescent="0.2">
      <c r="A39" s="30">
        <v>44365</v>
      </c>
      <c r="B39">
        <v>79</v>
      </c>
    </row>
    <row r="40" spans="1:2" x14ac:dyDescent="0.2">
      <c r="A40" s="30">
        <v>44368</v>
      </c>
      <c r="B40">
        <v>82</v>
      </c>
    </row>
    <row r="41" spans="1:2" x14ac:dyDescent="0.2">
      <c r="A41" s="30">
        <v>44370</v>
      </c>
      <c r="B41">
        <v>84</v>
      </c>
    </row>
    <row r="42" spans="1:2" x14ac:dyDescent="0.2">
      <c r="A42" s="30">
        <v>44372</v>
      </c>
      <c r="B42">
        <v>86</v>
      </c>
    </row>
    <row r="43" spans="1:2" x14ac:dyDescent="0.2">
      <c r="A43" s="30">
        <v>44375</v>
      </c>
      <c r="B43">
        <v>89</v>
      </c>
    </row>
    <row r="44" spans="1:2" x14ac:dyDescent="0.2">
      <c r="A44" s="30">
        <v>44377</v>
      </c>
      <c r="B44">
        <v>91</v>
      </c>
    </row>
    <row r="45" spans="1:2" x14ac:dyDescent="0.2">
      <c r="A45" s="30">
        <v>44379</v>
      </c>
      <c r="B45">
        <v>93</v>
      </c>
    </row>
    <row r="46" spans="1:2" x14ac:dyDescent="0.2">
      <c r="A46" s="30">
        <v>44382</v>
      </c>
      <c r="B46">
        <v>96</v>
      </c>
    </row>
    <row r="47" spans="1:2" x14ac:dyDescent="0.2">
      <c r="A47" s="30">
        <v>44384</v>
      </c>
      <c r="B47">
        <v>98</v>
      </c>
    </row>
    <row r="48" spans="1:2" x14ac:dyDescent="0.2">
      <c r="A48" s="30">
        <v>44417</v>
      </c>
      <c r="B48">
        <v>100</v>
      </c>
    </row>
    <row r="49" spans="1:2" x14ac:dyDescent="0.2">
      <c r="A49" s="30">
        <v>44419</v>
      </c>
      <c r="B49">
        <v>102</v>
      </c>
    </row>
    <row r="50" spans="1:2" x14ac:dyDescent="0.2">
      <c r="A50" s="30">
        <v>44421</v>
      </c>
      <c r="B50">
        <v>104</v>
      </c>
    </row>
    <row r="51" spans="1:2" x14ac:dyDescent="0.2">
      <c r="A51" s="30">
        <v>44424</v>
      </c>
      <c r="B51">
        <v>107</v>
      </c>
    </row>
    <row r="52" spans="1:2" x14ac:dyDescent="0.2">
      <c r="A52" s="30">
        <v>44426</v>
      </c>
      <c r="B52">
        <v>109</v>
      </c>
    </row>
    <row r="53" spans="1:2" x14ac:dyDescent="0.2">
      <c r="A53" s="30">
        <v>44428</v>
      </c>
      <c r="B53">
        <v>111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sqref="A1:XFD1048576"/>
    </sheetView>
  </sheetViews>
  <sheetFormatPr baseColWidth="10" defaultRowHeight="1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2:X24"/>
  <sheetViews>
    <sheetView zoomScale="68" workbookViewId="0">
      <selection activeCell="C13" sqref="C13"/>
    </sheetView>
  </sheetViews>
  <sheetFormatPr baseColWidth="10" defaultRowHeight="15" x14ac:dyDescent="0.2"/>
  <cols>
    <col min="16" max="16" width="23.5" customWidth="1"/>
    <col min="17" max="17" width="14.5" customWidth="1"/>
  </cols>
  <sheetData>
    <row r="2" spans="5:24" ht="16" thickBot="1" x14ac:dyDescent="0.25"/>
    <row r="3" spans="5:24" x14ac:dyDescent="0.2">
      <c r="E3" s="79"/>
      <c r="F3" s="81" t="s">
        <v>170</v>
      </c>
      <c r="G3" s="82"/>
      <c r="H3" s="82"/>
      <c r="I3" s="83"/>
      <c r="J3" s="81" t="s">
        <v>171</v>
      </c>
      <c r="K3" s="82"/>
      <c r="L3" s="82"/>
      <c r="M3" s="83"/>
    </row>
    <row r="4" spans="5:24" ht="16" thickBot="1" x14ac:dyDescent="0.25">
      <c r="E4" s="80"/>
      <c r="F4" s="84"/>
      <c r="G4" s="85"/>
      <c r="H4" s="85"/>
      <c r="I4" s="86"/>
      <c r="J4" s="84"/>
      <c r="K4" s="85"/>
      <c r="L4" s="85"/>
      <c r="M4" s="86"/>
    </row>
    <row r="5" spans="5:24" ht="89" thickBot="1" x14ac:dyDescent="0.25">
      <c r="E5" s="87" t="s">
        <v>172</v>
      </c>
      <c r="F5" s="81" t="s">
        <v>64</v>
      </c>
      <c r="G5" s="83"/>
      <c r="H5" s="81" t="s">
        <v>56</v>
      </c>
      <c r="I5" s="83"/>
      <c r="J5" s="81" t="s">
        <v>64</v>
      </c>
      <c r="K5" s="83"/>
      <c r="L5" s="81" t="s">
        <v>56</v>
      </c>
      <c r="M5" s="83"/>
      <c r="P5" s="42" t="s">
        <v>181</v>
      </c>
      <c r="Q5" s="42" t="s">
        <v>182</v>
      </c>
      <c r="R5" s="42" t="s">
        <v>183</v>
      </c>
      <c r="S5" s="42" t="s">
        <v>184</v>
      </c>
      <c r="T5" s="42" t="s">
        <v>185</v>
      </c>
      <c r="U5" s="42" t="s">
        <v>138</v>
      </c>
      <c r="V5" s="42" t="s">
        <v>186</v>
      </c>
      <c r="W5" s="42" t="s">
        <v>187</v>
      </c>
    </row>
    <row r="6" spans="5:24" ht="23" thickBot="1" x14ac:dyDescent="0.25">
      <c r="E6" s="88"/>
      <c r="F6" s="84"/>
      <c r="G6" s="86"/>
      <c r="H6" s="84"/>
      <c r="I6" s="86"/>
      <c r="J6" s="84"/>
      <c r="K6" s="86"/>
      <c r="L6" s="84"/>
      <c r="M6" s="86"/>
      <c r="P6" s="42" t="s">
        <v>188</v>
      </c>
      <c r="Q6" s="42">
        <v>1.1299999999999999</v>
      </c>
      <c r="R6" s="42">
        <v>16.28</v>
      </c>
      <c r="S6" s="42">
        <v>21.64</v>
      </c>
      <c r="T6" s="42">
        <v>3.57</v>
      </c>
      <c r="U6" s="42">
        <f t="shared" ref="U6:U11" si="0">AVERAGE(V6:W6)</f>
        <v>7.1950000000000003</v>
      </c>
      <c r="V6" s="42">
        <v>7.28</v>
      </c>
      <c r="W6" s="42">
        <v>7.11</v>
      </c>
      <c r="X6">
        <f t="shared" ref="X6:X11" si="1">_xlfn.STDEV.S(V6:W6)</f>
        <v>0.12020815280171303</v>
      </c>
    </row>
    <row r="7" spans="5:24" ht="23" thickBot="1" x14ac:dyDescent="0.25">
      <c r="E7" s="37"/>
      <c r="F7" s="38" t="s">
        <v>173</v>
      </c>
      <c r="G7" s="38" t="s">
        <v>174</v>
      </c>
      <c r="H7" s="38" t="s">
        <v>175</v>
      </c>
      <c r="I7" s="38" t="s">
        <v>174</v>
      </c>
      <c r="J7" s="38" t="s">
        <v>175</v>
      </c>
      <c r="K7" s="38" t="s">
        <v>174</v>
      </c>
      <c r="L7" s="38" t="s">
        <v>175</v>
      </c>
      <c r="M7" s="38" t="s">
        <v>174</v>
      </c>
      <c r="P7" s="42" t="s">
        <v>189</v>
      </c>
      <c r="Q7" s="42">
        <v>67.650000000000006</v>
      </c>
      <c r="R7" s="42">
        <v>75.739999999999995</v>
      </c>
      <c r="S7" s="42">
        <v>72.56</v>
      </c>
      <c r="T7" s="42">
        <v>37.81</v>
      </c>
      <c r="U7" s="42">
        <f t="shared" si="0"/>
        <v>70.099999999999994</v>
      </c>
      <c r="V7" s="42">
        <v>70.39</v>
      </c>
      <c r="W7" s="42">
        <v>69.81</v>
      </c>
      <c r="X7">
        <f t="shared" si="1"/>
        <v>0.41012193308819639</v>
      </c>
    </row>
    <row r="8" spans="5:24" ht="23" thickBot="1" x14ac:dyDescent="0.25">
      <c r="E8" s="37" t="s">
        <v>176</v>
      </c>
      <c r="F8" s="39">
        <v>0.5</v>
      </c>
      <c r="G8" s="39">
        <v>0.35</v>
      </c>
      <c r="H8" s="39">
        <v>0.5</v>
      </c>
      <c r="I8" s="39">
        <v>0.1</v>
      </c>
      <c r="J8" s="39">
        <v>0</v>
      </c>
      <c r="K8" s="39">
        <v>0</v>
      </c>
      <c r="L8" s="39">
        <v>0.5</v>
      </c>
      <c r="M8" s="39">
        <v>0.1</v>
      </c>
      <c r="P8" s="42" t="s">
        <v>190</v>
      </c>
      <c r="Q8" s="42">
        <v>7.7</v>
      </c>
      <c r="R8" s="42">
        <v>4.5999999999999996</v>
      </c>
      <c r="S8" s="42">
        <v>7</v>
      </c>
      <c r="T8" s="42">
        <v>7.1</v>
      </c>
      <c r="U8" s="42">
        <f t="shared" si="0"/>
        <v>5.3000000000000007</v>
      </c>
      <c r="V8" s="42">
        <v>5.2</v>
      </c>
      <c r="W8" s="42">
        <v>5.4</v>
      </c>
      <c r="X8">
        <f t="shared" si="1"/>
        <v>0.14142135623730964</v>
      </c>
    </row>
    <row r="9" spans="5:24" ht="23" thickBot="1" x14ac:dyDescent="0.25">
      <c r="E9" s="37" t="s">
        <v>177</v>
      </c>
      <c r="F9" s="40">
        <v>1</v>
      </c>
      <c r="G9" s="39">
        <v>0.25</v>
      </c>
      <c r="H9" s="39">
        <v>0.75</v>
      </c>
      <c r="I9" s="40">
        <v>0.95</v>
      </c>
      <c r="J9" s="39">
        <v>0.85</v>
      </c>
      <c r="K9" s="39">
        <v>0.5</v>
      </c>
      <c r="L9" s="39">
        <v>0.35</v>
      </c>
      <c r="M9" s="39">
        <v>0</v>
      </c>
      <c r="P9" s="42" t="s">
        <v>191</v>
      </c>
      <c r="Q9" s="42">
        <v>-121.7</v>
      </c>
      <c r="R9" s="42">
        <v>21.75</v>
      </c>
      <c r="S9" s="42">
        <v>-57.35</v>
      </c>
      <c r="T9" s="42">
        <v>-57</v>
      </c>
      <c r="U9" s="42">
        <f t="shared" si="0"/>
        <v>-238.75</v>
      </c>
      <c r="V9" s="42">
        <v>-274.14999999999998</v>
      </c>
      <c r="W9" s="42">
        <v>-203.35</v>
      </c>
      <c r="X9">
        <f t="shared" si="1"/>
        <v>50.063160108007345</v>
      </c>
    </row>
    <row r="10" spans="5:24" ht="23" thickBot="1" x14ac:dyDescent="0.25">
      <c r="E10" s="37" t="s">
        <v>178</v>
      </c>
      <c r="F10" s="40">
        <v>1</v>
      </c>
      <c r="G10" s="39">
        <v>0.85</v>
      </c>
      <c r="H10" s="39">
        <v>0.55000000000000004</v>
      </c>
      <c r="I10" s="40">
        <v>0.95</v>
      </c>
      <c r="J10" s="39">
        <v>0.45</v>
      </c>
      <c r="K10" s="39">
        <v>0</v>
      </c>
      <c r="L10" s="39">
        <v>0.7</v>
      </c>
      <c r="M10" s="39">
        <v>0.35</v>
      </c>
      <c r="P10" s="42" t="s">
        <v>192</v>
      </c>
      <c r="Q10" s="42">
        <v>669.5</v>
      </c>
      <c r="R10" s="42">
        <v>2.74</v>
      </c>
      <c r="S10" s="42">
        <v>122.86</v>
      </c>
      <c r="T10" s="42">
        <v>7.38</v>
      </c>
      <c r="U10" s="42">
        <f t="shared" si="0"/>
        <v>4.1150000000000002</v>
      </c>
      <c r="V10" s="42">
        <v>4.51</v>
      </c>
      <c r="W10" s="42">
        <v>3.72</v>
      </c>
      <c r="X10">
        <f t="shared" si="1"/>
        <v>0.55861435713737229</v>
      </c>
    </row>
    <row r="11" spans="5:24" ht="45" thickBot="1" x14ac:dyDescent="0.25">
      <c r="E11" s="37" t="s">
        <v>179</v>
      </c>
      <c r="F11" s="39">
        <v>0.9</v>
      </c>
      <c r="G11" s="39">
        <v>0.35</v>
      </c>
      <c r="H11" s="39">
        <v>0.95</v>
      </c>
      <c r="I11" s="39">
        <v>0.55000000000000004</v>
      </c>
      <c r="J11" s="39">
        <v>1</v>
      </c>
      <c r="K11" s="39">
        <v>0.2</v>
      </c>
      <c r="L11" s="39">
        <v>1</v>
      </c>
      <c r="M11" s="39">
        <v>0.3</v>
      </c>
      <c r="P11" s="42" t="s">
        <v>193</v>
      </c>
      <c r="Q11" s="43">
        <v>4050</v>
      </c>
      <c r="R11" s="42" t="s">
        <v>194</v>
      </c>
      <c r="S11" s="43">
        <v>2050</v>
      </c>
      <c r="T11" s="42">
        <v>2600</v>
      </c>
      <c r="U11" s="42">
        <f t="shared" si="0"/>
        <v>1584.5</v>
      </c>
      <c r="V11" s="42">
        <v>1560</v>
      </c>
      <c r="W11" s="42">
        <v>1609</v>
      </c>
      <c r="X11">
        <f t="shared" si="1"/>
        <v>34.648232278140831</v>
      </c>
    </row>
    <row r="12" spans="5:24" ht="21" customHeight="1" x14ac:dyDescent="0.2">
      <c r="H12" s="78" t="s">
        <v>170</v>
      </c>
      <c r="I12" s="78"/>
      <c r="P12" s="68" t="s">
        <v>195</v>
      </c>
      <c r="Q12" s="69"/>
      <c r="R12" s="69"/>
      <c r="S12" s="69"/>
      <c r="T12" s="69"/>
      <c r="U12" s="69"/>
      <c r="V12" s="69"/>
      <c r="W12" s="70"/>
    </row>
    <row r="13" spans="5:24" ht="22" thickBot="1" x14ac:dyDescent="0.25">
      <c r="F13" s="38" t="s">
        <v>173</v>
      </c>
      <c r="G13" s="38" t="s">
        <v>175</v>
      </c>
      <c r="H13" s="77" t="s">
        <v>180</v>
      </c>
      <c r="I13" s="57"/>
      <c r="J13" t="s">
        <v>174</v>
      </c>
      <c r="P13" s="71" t="s">
        <v>196</v>
      </c>
      <c r="Q13" s="72"/>
      <c r="R13" s="72"/>
      <c r="S13" s="72"/>
      <c r="T13" s="72"/>
      <c r="U13" s="72"/>
      <c r="V13" s="72"/>
      <c r="W13" s="73"/>
    </row>
    <row r="14" spans="5:24" ht="22" thickBot="1" x14ac:dyDescent="0.25">
      <c r="F14" s="39">
        <v>0.5</v>
      </c>
      <c r="G14" s="39">
        <v>0.5</v>
      </c>
      <c r="H14" s="41">
        <f>AVERAGE(F14:G14)</f>
        <v>0.5</v>
      </c>
      <c r="I14">
        <f>_xlfn.STDEV.S(F14:G14)</f>
        <v>0</v>
      </c>
      <c r="J14" s="41"/>
      <c r="K14" s="38" t="s">
        <v>175</v>
      </c>
      <c r="L14" s="38" t="s">
        <v>175</v>
      </c>
      <c r="P14" s="74" t="s">
        <v>197</v>
      </c>
      <c r="Q14" s="75"/>
      <c r="R14" s="75"/>
      <c r="S14" s="75"/>
      <c r="T14" s="75"/>
      <c r="U14" s="75"/>
      <c r="V14" s="75"/>
      <c r="W14" s="76"/>
    </row>
    <row r="15" spans="5:24" ht="22" thickBot="1" x14ac:dyDescent="0.25">
      <c r="F15" s="40">
        <v>1</v>
      </c>
      <c r="G15" s="39">
        <v>0.75</v>
      </c>
      <c r="H15" s="41">
        <f>AVERAGE(F15:G15)</f>
        <v>0.875</v>
      </c>
      <c r="I15">
        <f>_xlfn.STDEV.S(F15:G15)</f>
        <v>0.17677669529663689</v>
      </c>
      <c r="K15" s="39">
        <v>0</v>
      </c>
      <c r="L15" s="39">
        <v>0.5</v>
      </c>
      <c r="M15" s="41">
        <f>AVERAGE(K15:L15)</f>
        <v>0.25</v>
      </c>
      <c r="N15">
        <f>_xlfn.STDEV.S(K15:L15)</f>
        <v>0.35355339059327379</v>
      </c>
      <c r="P15" s="68" t="s">
        <v>198</v>
      </c>
      <c r="Q15" s="69"/>
      <c r="R15" s="69"/>
      <c r="S15" s="69"/>
      <c r="T15" s="69"/>
      <c r="U15" s="69"/>
      <c r="V15" s="69"/>
      <c r="W15" s="70"/>
    </row>
    <row r="16" spans="5:24" ht="22" thickBot="1" x14ac:dyDescent="0.25">
      <c r="F16" s="40">
        <v>1</v>
      </c>
      <c r="G16" s="39">
        <v>0.55000000000000004</v>
      </c>
      <c r="H16" s="41">
        <f t="shared" ref="H16:H17" si="2">AVERAGE(F16:G16)</f>
        <v>0.77500000000000002</v>
      </c>
      <c r="I16">
        <f t="shared" ref="I16:I17" si="3">_xlfn.STDEV.S(F16:G16)</f>
        <v>0.31819805153394615</v>
      </c>
      <c r="K16" s="39">
        <v>0.85</v>
      </c>
      <c r="L16" s="39">
        <v>0.35</v>
      </c>
      <c r="M16" s="41">
        <f t="shared" ref="M16:M18" si="4">AVERAGE(K16:L16)</f>
        <v>0.6</v>
      </c>
      <c r="N16">
        <f t="shared" ref="N16:N18" si="5">_xlfn.STDEV.S(K16:L16)</f>
        <v>0.35355339059327362</v>
      </c>
      <c r="P16" s="71" t="s">
        <v>199</v>
      </c>
      <c r="Q16" s="72"/>
      <c r="R16" s="72"/>
      <c r="S16" s="72"/>
      <c r="T16" s="72"/>
      <c r="U16" s="72"/>
      <c r="V16" s="72"/>
      <c r="W16" s="73"/>
    </row>
    <row r="17" spans="6:23" ht="22" thickBot="1" x14ac:dyDescent="0.25">
      <c r="F17" s="39">
        <v>0.9</v>
      </c>
      <c r="G17" s="39">
        <v>0.95</v>
      </c>
      <c r="H17" s="41">
        <f t="shared" si="2"/>
        <v>0.92500000000000004</v>
      </c>
      <c r="I17">
        <f t="shared" si="3"/>
        <v>3.5355339059327327E-2</v>
      </c>
      <c r="K17" s="39">
        <v>0.45</v>
      </c>
      <c r="L17" s="39">
        <v>0.7</v>
      </c>
      <c r="M17" s="41">
        <f t="shared" si="4"/>
        <v>0.57499999999999996</v>
      </c>
      <c r="N17">
        <f t="shared" si="5"/>
        <v>0.17677669529663689</v>
      </c>
      <c r="P17" s="74" t="s">
        <v>200</v>
      </c>
      <c r="Q17" s="75"/>
      <c r="R17" s="75"/>
      <c r="S17" s="75"/>
      <c r="T17" s="75"/>
      <c r="U17" s="75"/>
      <c r="V17" s="75"/>
      <c r="W17" s="76"/>
    </row>
    <row r="18" spans="6:23" ht="16" thickBot="1" x14ac:dyDescent="0.25">
      <c r="K18" s="39">
        <v>1</v>
      </c>
      <c r="L18" s="39">
        <v>1</v>
      </c>
      <c r="M18" s="41">
        <f t="shared" si="4"/>
        <v>1</v>
      </c>
      <c r="N18">
        <f t="shared" si="5"/>
        <v>0</v>
      </c>
    </row>
    <row r="19" spans="6:23" ht="16" thickBot="1" x14ac:dyDescent="0.25">
      <c r="F19" s="38" t="s">
        <v>174</v>
      </c>
      <c r="G19" s="38" t="s">
        <v>174</v>
      </c>
    </row>
    <row r="20" spans="6:23" ht="16" thickBot="1" x14ac:dyDescent="0.25">
      <c r="F20" s="39">
        <v>0.35</v>
      </c>
      <c r="G20" s="39">
        <v>0.1</v>
      </c>
      <c r="H20" s="41">
        <f>AVERAGE(F20:G20)</f>
        <v>0.22499999999999998</v>
      </c>
      <c r="I20">
        <f>_xlfn.STDEV.S(F20:G20)</f>
        <v>0.17677669529663689</v>
      </c>
      <c r="K20" s="38" t="s">
        <v>174</v>
      </c>
      <c r="L20" s="38" t="s">
        <v>174</v>
      </c>
    </row>
    <row r="21" spans="6:23" ht="16" thickBot="1" x14ac:dyDescent="0.25">
      <c r="F21" s="39">
        <v>0.25</v>
      </c>
      <c r="G21" s="40">
        <v>0.95</v>
      </c>
      <c r="H21" s="41">
        <f t="shared" ref="H21:H22" si="6">AVERAGE(F21:G21)</f>
        <v>0.6</v>
      </c>
      <c r="I21">
        <f t="shared" ref="I21:I23" si="7">_xlfn.STDEV.S(F21:G21)</f>
        <v>0.49497474683058329</v>
      </c>
      <c r="K21" s="39">
        <v>0</v>
      </c>
      <c r="L21" s="39">
        <v>0.1</v>
      </c>
      <c r="M21" s="41">
        <f>AVERAGE(K21:L21)</f>
        <v>0.05</v>
      </c>
      <c r="N21">
        <f>_xlfn.STDEV.S(K21:L21)</f>
        <v>7.0710678118654766E-2</v>
      </c>
    </row>
    <row r="22" spans="6:23" ht="16" thickBot="1" x14ac:dyDescent="0.25">
      <c r="F22" s="39">
        <v>0.85</v>
      </c>
      <c r="G22" s="40">
        <v>0.95</v>
      </c>
      <c r="H22" s="41">
        <f t="shared" si="6"/>
        <v>0.89999999999999991</v>
      </c>
      <c r="I22">
        <f t="shared" si="7"/>
        <v>7.0710678118654738E-2</v>
      </c>
      <c r="K22" s="39">
        <v>0.5</v>
      </c>
      <c r="L22" s="39">
        <v>0</v>
      </c>
      <c r="M22" s="41">
        <f t="shared" ref="M22:M24" si="8">AVERAGE(K22:L22)</f>
        <v>0.25</v>
      </c>
      <c r="N22">
        <f t="shared" ref="N22:N24" si="9">_xlfn.STDEV.S(K22:L22)</f>
        <v>0.35355339059327379</v>
      </c>
    </row>
    <row r="23" spans="6:23" ht="16" thickBot="1" x14ac:dyDescent="0.25">
      <c r="F23" s="39">
        <v>0.35</v>
      </c>
      <c r="G23" s="39">
        <v>0.55000000000000004</v>
      </c>
      <c r="H23" s="41">
        <f>AVERAGE(F23:G23)</f>
        <v>0.45</v>
      </c>
      <c r="I23">
        <f t="shared" si="7"/>
        <v>0.14142135623730956</v>
      </c>
      <c r="K23" s="39">
        <v>0</v>
      </c>
      <c r="L23" s="39">
        <v>0.35</v>
      </c>
      <c r="M23" s="41">
        <f t="shared" si="8"/>
        <v>0.17499999999999999</v>
      </c>
      <c r="N23">
        <f t="shared" si="9"/>
        <v>0.24748737341529162</v>
      </c>
    </row>
    <row r="24" spans="6:23" ht="16" thickBot="1" x14ac:dyDescent="0.25">
      <c r="K24" s="39">
        <v>0.2</v>
      </c>
      <c r="L24" s="39">
        <v>0.3</v>
      </c>
      <c r="M24" s="41">
        <f t="shared" si="8"/>
        <v>0.25</v>
      </c>
      <c r="N24">
        <f t="shared" si="9"/>
        <v>7.0710678118654779E-2</v>
      </c>
    </row>
  </sheetData>
  <mergeCells count="16">
    <mergeCell ref="E3:E4"/>
    <mergeCell ref="F3:I4"/>
    <mergeCell ref="J3:M4"/>
    <mergeCell ref="E5:E6"/>
    <mergeCell ref="F5:G6"/>
    <mergeCell ref="H5:I6"/>
    <mergeCell ref="J5:K6"/>
    <mergeCell ref="L5:M6"/>
    <mergeCell ref="P15:W15"/>
    <mergeCell ref="P16:W16"/>
    <mergeCell ref="P17:W17"/>
    <mergeCell ref="H13:I13"/>
    <mergeCell ref="H12:I12"/>
    <mergeCell ref="P12:W12"/>
    <mergeCell ref="P13:W13"/>
    <mergeCell ref="P14:W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opLeftCell="B1" zoomScale="140" zoomScaleNormal="140" workbookViewId="0">
      <selection activeCell="F5" sqref="F5:F8"/>
    </sheetView>
  </sheetViews>
  <sheetFormatPr baseColWidth="10" defaultRowHeight="15" x14ac:dyDescent="0.2"/>
  <cols>
    <col min="1" max="1" width="48.1640625" bestFit="1" customWidth="1"/>
    <col min="2" max="2" width="22.6640625" customWidth="1"/>
    <col min="3" max="3" width="31.1640625" bestFit="1" customWidth="1"/>
    <col min="4" max="4" width="25.6640625" bestFit="1" customWidth="1"/>
    <col min="5" max="5" width="34.5" bestFit="1" customWidth="1"/>
    <col min="6" max="6" width="15.33203125" bestFit="1" customWidth="1"/>
    <col min="7" max="7" width="20.33203125" bestFit="1" customWidth="1"/>
    <col min="8" max="8" width="15.5" bestFit="1" customWidth="1"/>
    <col min="10" max="10" width="26.5" bestFit="1" customWidth="1"/>
    <col min="12" max="12" width="20.1640625" bestFit="1" customWidth="1"/>
    <col min="13" max="13" width="20.33203125" bestFit="1" customWidth="1"/>
    <col min="14" max="14" width="15.83203125" bestFit="1" customWidth="1"/>
    <col min="15" max="15" width="26.83203125" bestFit="1" customWidth="1"/>
  </cols>
  <sheetData>
    <row r="1" spans="1:15" x14ac:dyDescent="0.2">
      <c r="B1" s="9"/>
      <c r="C1" s="9" t="s">
        <v>0</v>
      </c>
      <c r="D1" s="9"/>
      <c r="E1" s="9"/>
    </row>
    <row r="2" spans="1:15" x14ac:dyDescent="0.2">
      <c r="B2" s="9" t="s">
        <v>1</v>
      </c>
      <c r="C2" s="9"/>
      <c r="D2" s="9"/>
      <c r="E2" s="9"/>
    </row>
    <row r="3" spans="1:15" x14ac:dyDescent="0.2">
      <c r="B3" s="9"/>
      <c r="C3" s="9" t="s">
        <v>2</v>
      </c>
      <c r="D3" s="9"/>
      <c r="E3" s="9" t="s">
        <v>2</v>
      </c>
    </row>
    <row r="4" spans="1:15" x14ac:dyDescent="0.2">
      <c r="B4" s="9"/>
      <c r="C4" s="9" t="s">
        <v>3</v>
      </c>
      <c r="D4" s="9"/>
      <c r="E4" s="9" t="s">
        <v>3</v>
      </c>
    </row>
    <row r="5" spans="1:15" x14ac:dyDescent="0.2">
      <c r="B5" s="9"/>
      <c r="C5" s="9" t="s">
        <v>4</v>
      </c>
      <c r="D5" s="9" t="s">
        <v>5</v>
      </c>
      <c r="E5" s="9" t="s">
        <v>4</v>
      </c>
      <c r="F5" s="9" t="s">
        <v>5</v>
      </c>
    </row>
    <row r="6" spans="1:15" x14ac:dyDescent="0.2">
      <c r="B6" s="9"/>
      <c r="C6" s="9" t="s">
        <v>6</v>
      </c>
      <c r="D6" s="9" t="s">
        <v>7</v>
      </c>
      <c r="E6" s="9" t="s">
        <v>6</v>
      </c>
      <c r="F6" s="9" t="s">
        <v>7</v>
      </c>
    </row>
    <row r="7" spans="1:15" x14ac:dyDescent="0.2">
      <c r="B7" s="9"/>
      <c r="C7" s="9" t="s">
        <v>8</v>
      </c>
      <c r="D7" s="9" t="s">
        <v>9</v>
      </c>
      <c r="E7" s="9" t="s">
        <v>8</v>
      </c>
      <c r="F7" s="9" t="s">
        <v>9</v>
      </c>
    </row>
    <row r="8" spans="1:15" x14ac:dyDescent="0.2">
      <c r="B8" s="9"/>
      <c r="C8" s="9" t="s">
        <v>10</v>
      </c>
      <c r="D8" s="9" t="s">
        <v>11</v>
      </c>
      <c r="E8" s="9" t="s">
        <v>10</v>
      </c>
      <c r="F8" s="9" t="s">
        <v>11</v>
      </c>
    </row>
    <row r="9" spans="1:15" x14ac:dyDescent="0.2">
      <c r="A9" s="53" t="s">
        <v>12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 t="s">
        <v>13</v>
      </c>
      <c r="O9" s="54" t="s">
        <v>14</v>
      </c>
    </row>
    <row r="10" spans="1:15" x14ac:dyDescent="0.2">
      <c r="A10" s="1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20</v>
      </c>
      <c r="G10" s="2" t="s">
        <v>21</v>
      </c>
      <c r="H10" s="3" t="s">
        <v>22</v>
      </c>
      <c r="I10" s="4" t="s">
        <v>23</v>
      </c>
      <c r="J10" s="3" t="s">
        <v>24</v>
      </c>
      <c r="K10" s="4" t="s">
        <v>25</v>
      </c>
      <c r="L10" s="5" t="s">
        <v>26</v>
      </c>
      <c r="M10" s="5" t="s">
        <v>27</v>
      </c>
      <c r="N10" s="54"/>
      <c r="O10" s="54"/>
    </row>
    <row r="11" spans="1:15" x14ac:dyDescent="0.2">
      <c r="A11" s="6">
        <v>43532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7"/>
    </row>
    <row r="12" spans="1:15" x14ac:dyDescent="0.2">
      <c r="A12" s="9" t="s">
        <v>28</v>
      </c>
      <c r="B12" s="7" t="s">
        <v>29</v>
      </c>
      <c r="C12" s="7">
        <v>25.6523</v>
      </c>
      <c r="D12" s="7">
        <v>47.329599999999999</v>
      </c>
      <c r="E12" s="7">
        <v>29.132000000000001</v>
      </c>
      <c r="F12" s="7">
        <v>26.498200000000001</v>
      </c>
      <c r="G12" s="7">
        <f>(D12-C12)</f>
        <v>21.677299999999999</v>
      </c>
      <c r="H12" s="7">
        <f>(E12-C12)</f>
        <v>3.4797000000000011</v>
      </c>
      <c r="I12" s="7">
        <f t="shared" ref="I12:I17" si="0">(H12/G12)*100</f>
        <v>16.052275883066624</v>
      </c>
      <c r="J12" s="7">
        <f t="shared" ref="J12:J17" si="1">H12-(F12-C12)</f>
        <v>2.6338000000000008</v>
      </c>
      <c r="K12" s="7">
        <f>(J12/H12)*100</f>
        <v>75.690433083311774</v>
      </c>
      <c r="L12" s="10">
        <f>AVERAGE(I12:I13)</f>
        <v>16.282800585274536</v>
      </c>
      <c r="M12" s="10">
        <f>AVERAGE(K12:K14)</f>
        <v>75.739533655158695</v>
      </c>
      <c r="N12">
        <f t="shared" ref="N12:N17" si="2">((E12-F12)/(G12))*1000000</f>
        <v>121500.37135621137</v>
      </c>
      <c r="O12" s="11">
        <f>AVERAGE(N12:N14)</f>
        <v>121566.02389997469</v>
      </c>
    </row>
    <row r="13" spans="1:15" x14ac:dyDescent="0.2">
      <c r="A13" s="9"/>
      <c r="B13" s="7" t="s">
        <v>30</v>
      </c>
      <c r="C13" s="7">
        <v>24.5185</v>
      </c>
      <c r="D13" s="7">
        <v>43.658799999999999</v>
      </c>
      <c r="E13" s="7">
        <v>27.679200000000002</v>
      </c>
      <c r="F13" s="7">
        <v>25.281199999999998</v>
      </c>
      <c r="G13" s="7">
        <f>(D13-C13)</f>
        <v>19.1403</v>
      </c>
      <c r="H13" s="7">
        <f t="shared" ref="H13:H30" si="3">(E13-C13)</f>
        <v>3.1607000000000021</v>
      </c>
      <c r="I13" s="7">
        <f t="shared" si="0"/>
        <v>16.513325287482445</v>
      </c>
      <c r="J13" s="7">
        <f t="shared" si="1"/>
        <v>2.3980000000000032</v>
      </c>
      <c r="K13" s="7">
        <f t="shared" ref="K13:K30" si="4">(J13/H13)*100</f>
        <v>75.869269465624754</v>
      </c>
      <c r="L13" s="12">
        <f>_xlfn.STDEV.S(I12:I14)</f>
        <v>0.46430425625629473</v>
      </c>
      <c r="M13" s="12">
        <f>_xlfn.STDEV.S(K12:K14)</f>
        <v>0.11345547227910029</v>
      </c>
      <c r="N13">
        <f t="shared" si="2"/>
        <v>125285.39260095209</v>
      </c>
      <c r="O13" s="11">
        <f>O12/1000</f>
        <v>121.5660238999747</v>
      </c>
    </row>
    <row r="14" spans="1:15" x14ac:dyDescent="0.2">
      <c r="A14" s="9"/>
      <c r="B14" s="7" t="s">
        <v>31</v>
      </c>
      <c r="C14" s="7">
        <v>25.7011</v>
      </c>
      <c r="D14" s="7">
        <v>50.095500000000001</v>
      </c>
      <c r="E14" s="7">
        <v>29.5029</v>
      </c>
      <c r="F14" s="7">
        <v>26.6265</v>
      </c>
      <c r="G14" s="7">
        <f>(D14-C14)</f>
        <v>24.394400000000001</v>
      </c>
      <c r="H14" s="7">
        <f t="shared" si="3"/>
        <v>3.8018000000000001</v>
      </c>
      <c r="I14" s="7">
        <f t="shared" si="0"/>
        <v>15.584724362968549</v>
      </c>
      <c r="J14" s="7">
        <f t="shared" si="1"/>
        <v>2.8764000000000003</v>
      </c>
      <c r="K14" s="7">
        <f t="shared" si="4"/>
        <v>75.658898416539543</v>
      </c>
      <c r="L14" s="12"/>
      <c r="M14" s="10"/>
      <c r="N14">
        <f t="shared" si="2"/>
        <v>117912.30774276063</v>
      </c>
      <c r="O14" s="13">
        <f>_xlfn.STDEV.S(N12:N14)/1000</f>
        <v>3.6869808480516952</v>
      </c>
    </row>
    <row r="15" spans="1:15" x14ac:dyDescent="0.2">
      <c r="A15" s="9" t="s">
        <v>32</v>
      </c>
      <c r="B15" s="7" t="s">
        <v>30</v>
      </c>
      <c r="C15" s="7">
        <v>24.511399999999998</v>
      </c>
      <c r="D15" s="7">
        <v>48.165799999999997</v>
      </c>
      <c r="E15" s="7">
        <v>24.778500000000001</v>
      </c>
      <c r="F15" s="7">
        <v>24.591000000000001</v>
      </c>
      <c r="G15" s="7">
        <f>(D15-C15)</f>
        <v>23.654399999999999</v>
      </c>
      <c r="H15" s="7">
        <f t="shared" si="3"/>
        <v>0.26710000000000278</v>
      </c>
      <c r="I15" s="7">
        <f t="shared" si="0"/>
        <v>1.1291768127705746</v>
      </c>
      <c r="J15" s="7">
        <f t="shared" si="1"/>
        <v>0.1875</v>
      </c>
      <c r="K15" s="7">
        <f t="shared" si="4"/>
        <v>70.198427555222025</v>
      </c>
      <c r="L15" s="10">
        <f>AVERAGE(I15:I17)</f>
        <v>1.1287762079339332</v>
      </c>
      <c r="M15" s="10">
        <f>AVERAGE(K15:K17)</f>
        <v>67.609558389029004</v>
      </c>
      <c r="N15">
        <f t="shared" si="2"/>
        <v>7926.6436688311696</v>
      </c>
      <c r="O15" s="11">
        <f>AVERAGE(N15:N17)</f>
        <v>7631.7436928783436</v>
      </c>
    </row>
    <row r="16" spans="1:15" x14ac:dyDescent="0.2">
      <c r="A16" s="9"/>
      <c r="B16" s="7" t="s">
        <v>29</v>
      </c>
      <c r="C16" s="7">
        <v>25.647200000000002</v>
      </c>
      <c r="D16" s="7">
        <v>47.369500000000002</v>
      </c>
      <c r="E16" s="7">
        <v>25.891999999999999</v>
      </c>
      <c r="F16" s="7">
        <v>25.7316</v>
      </c>
      <c r="G16" s="7">
        <f t="shared" ref="G16:G30" si="5">(D16-C16)</f>
        <v>21.722300000000001</v>
      </c>
      <c r="H16" s="7">
        <f t="shared" si="3"/>
        <v>0.24479999999999791</v>
      </c>
      <c r="I16" s="7">
        <f t="shared" si="0"/>
        <v>1.1269524866151277</v>
      </c>
      <c r="J16" s="7">
        <f t="shared" si="1"/>
        <v>0.16039999999999921</v>
      </c>
      <c r="K16" s="7">
        <f t="shared" si="4"/>
        <v>65.522875816993704</v>
      </c>
      <c r="L16" s="12">
        <f>_xlfn.STDEV.S(I15:I17)</f>
        <v>1.6600759328436118E-3</v>
      </c>
      <c r="M16" s="12">
        <f>_xlfn.STDEV.S(K15:K17)</f>
        <v>2.3778855198949933</v>
      </c>
      <c r="N16">
        <f t="shared" si="2"/>
        <v>7384.1167832135279</v>
      </c>
      <c r="O16" s="11">
        <f>O15/1000</f>
        <v>7.6317436928783433</v>
      </c>
    </row>
    <row r="17" spans="1:16" x14ac:dyDescent="0.2">
      <c r="A17" s="9"/>
      <c r="B17" s="7" t="s">
        <v>33</v>
      </c>
      <c r="C17" s="7">
        <v>24.461400000000001</v>
      </c>
      <c r="D17" s="7">
        <v>46.545999999999999</v>
      </c>
      <c r="E17" s="7">
        <v>24.710999999999999</v>
      </c>
      <c r="F17" s="7">
        <v>24.543500000000002</v>
      </c>
      <c r="G17" s="7">
        <f t="shared" si="5"/>
        <v>22.084599999999998</v>
      </c>
      <c r="H17" s="7">
        <f t="shared" si="3"/>
        <v>0.24959999999999738</v>
      </c>
      <c r="I17" s="7">
        <f t="shared" si="0"/>
        <v>1.1301993244160973</v>
      </c>
      <c r="J17" s="7">
        <f t="shared" si="1"/>
        <v>0.16749999999999687</v>
      </c>
      <c r="K17" s="7">
        <f t="shared" si="4"/>
        <v>67.107371794871256</v>
      </c>
      <c r="L17" s="8"/>
      <c r="M17" s="10"/>
      <c r="N17">
        <f t="shared" si="2"/>
        <v>7584.4706265903333</v>
      </c>
      <c r="O17" s="13">
        <f>_xlfn.STDEV.S(N15:N17)/1000</f>
        <v>0.27433540147362928</v>
      </c>
    </row>
    <row r="18" spans="1:16" x14ac:dyDescent="0.2">
      <c r="A18" s="9"/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  <c r="M18" s="10"/>
      <c r="O18" s="11"/>
    </row>
    <row r="19" spans="1:16" x14ac:dyDescent="0.2">
      <c r="A19" s="9" t="s">
        <v>34</v>
      </c>
      <c r="B19" s="7" t="s">
        <v>35</v>
      </c>
      <c r="C19" s="7">
        <v>24.612500000000001</v>
      </c>
      <c r="D19" s="7">
        <v>46.564700000000002</v>
      </c>
      <c r="E19" s="7">
        <v>29.167999999999999</v>
      </c>
      <c r="F19" s="7">
        <v>25.859400000000001</v>
      </c>
      <c r="G19" s="7">
        <f t="shared" si="5"/>
        <v>21.952200000000001</v>
      </c>
      <c r="H19" s="7">
        <f t="shared" si="3"/>
        <v>4.5554999999999986</v>
      </c>
      <c r="I19" s="7">
        <f t="shared" ref="I19:I30" si="6">(H19/G19)*100</f>
        <v>20.751906414846797</v>
      </c>
      <c r="J19" s="7">
        <f t="shared" ref="J19:J30" si="7">H19-(F19-C19)</f>
        <v>3.3085999999999984</v>
      </c>
      <c r="K19" s="7">
        <f t="shared" si="4"/>
        <v>72.628690593787709</v>
      </c>
      <c r="L19" s="10">
        <f>AVERAGE(I19:I21)</f>
        <v>21.643139440927644</v>
      </c>
      <c r="M19" s="10">
        <f>AVERAGE(K19:K21)</f>
        <v>72.557635307106082</v>
      </c>
      <c r="N19">
        <f t="shared" ref="N19:N30" si="8">((E19-F19)/(G19))*1000000</f>
        <v>150718.37902351466</v>
      </c>
      <c r="O19" s="11">
        <f>AVERAGE(N19:N21)</f>
        <v>157040.72019229693</v>
      </c>
    </row>
    <row r="20" spans="1:16" x14ac:dyDescent="0.2">
      <c r="B20" s="7" t="s">
        <v>36</v>
      </c>
      <c r="C20" s="7">
        <v>24.607500000000002</v>
      </c>
      <c r="D20" s="7">
        <v>45.1447</v>
      </c>
      <c r="E20" s="7">
        <v>29.115200000000002</v>
      </c>
      <c r="F20" s="7">
        <v>25.876999999999999</v>
      </c>
      <c r="G20" s="7">
        <f t="shared" si="5"/>
        <v>20.537199999999999</v>
      </c>
      <c r="H20" s="7">
        <f t="shared" si="3"/>
        <v>4.5076999999999998</v>
      </c>
      <c r="I20" s="7">
        <f t="shared" si="6"/>
        <v>21.948951171532634</v>
      </c>
      <c r="J20" s="7">
        <f t="shared" si="7"/>
        <v>3.2382000000000026</v>
      </c>
      <c r="K20" s="7">
        <f t="shared" si="4"/>
        <v>71.837078776316147</v>
      </c>
      <c r="L20" s="14">
        <f>_xlfn.STDEV.S(I19:I21)</f>
        <v>0.78438995867791383</v>
      </c>
      <c r="M20" s="12">
        <f>_xlfn.STDEV.S(K19:K21)</f>
        <v>0.68778718871744493</v>
      </c>
      <c r="N20">
        <f t="shared" si="8"/>
        <v>157674.85343669064</v>
      </c>
      <c r="O20" s="11">
        <f>O19/1000</f>
        <v>157.04072019229693</v>
      </c>
      <c r="P20" s="13"/>
    </row>
    <row r="21" spans="1:16" x14ac:dyDescent="0.2">
      <c r="B21">
        <v>6</v>
      </c>
      <c r="C21" s="7">
        <v>21.163</v>
      </c>
      <c r="D21" s="7">
        <v>43.0749</v>
      </c>
      <c r="E21" s="7">
        <v>26.0337</v>
      </c>
      <c r="F21" s="7">
        <v>22.468</v>
      </c>
      <c r="G21" s="7">
        <f t="shared" si="5"/>
        <v>21.911899999999999</v>
      </c>
      <c r="H21" s="7">
        <f t="shared" si="3"/>
        <v>4.8706999999999994</v>
      </c>
      <c r="I21" s="7">
        <f t="shared" si="6"/>
        <v>22.228560736403505</v>
      </c>
      <c r="J21" s="7">
        <f t="shared" si="7"/>
        <v>3.5656999999999996</v>
      </c>
      <c r="K21" s="7">
        <f t="shared" si="4"/>
        <v>73.207136551214404</v>
      </c>
      <c r="L21" s="8"/>
      <c r="M21" s="10"/>
      <c r="N21">
        <f t="shared" si="8"/>
        <v>162728.92811668542</v>
      </c>
      <c r="O21" s="13">
        <f>_xlfn.STDEV.S(N19:N21)/1000</f>
        <v>6.0303330014685121</v>
      </c>
    </row>
    <row r="22" spans="1:16" x14ac:dyDescent="0.2">
      <c r="A22" s="9" t="s">
        <v>37</v>
      </c>
      <c r="B22">
        <v>84</v>
      </c>
      <c r="C22">
        <v>26.2622</v>
      </c>
      <c r="D22">
        <v>48.367699999999999</v>
      </c>
      <c r="E22">
        <v>27.0365</v>
      </c>
      <c r="F22">
        <v>26.735299999999999</v>
      </c>
      <c r="G22" s="7">
        <f t="shared" si="5"/>
        <v>22.105499999999999</v>
      </c>
      <c r="H22" s="7">
        <f t="shared" si="3"/>
        <v>0.77430000000000021</v>
      </c>
      <c r="I22" s="7">
        <f t="shared" si="6"/>
        <v>3.5027481848408781</v>
      </c>
      <c r="J22" s="7">
        <f t="shared" si="7"/>
        <v>0.30120000000000147</v>
      </c>
      <c r="K22" s="7">
        <f t="shared" si="4"/>
        <v>38.899651297946711</v>
      </c>
      <c r="L22" s="10">
        <f>AVERAGE(I22:I24)</f>
        <v>3.5666152052283286</v>
      </c>
      <c r="M22" s="10">
        <f>AVERAGE(K22:K24)</f>
        <v>37.814236224321213</v>
      </c>
      <c r="N22" s="12">
        <f t="shared" si="8"/>
        <v>13625.568297482594</v>
      </c>
      <c r="O22" s="11">
        <f>AVERAGE(N22:N24)</f>
        <v>13486.786591782789</v>
      </c>
    </row>
    <row r="23" spans="1:16" x14ac:dyDescent="0.2">
      <c r="B23">
        <v>88</v>
      </c>
      <c r="C23" s="7">
        <v>18.864000000000001</v>
      </c>
      <c r="D23">
        <v>40.352899999999998</v>
      </c>
      <c r="E23" s="7">
        <v>19.6325</v>
      </c>
      <c r="F23" s="7">
        <v>19.363499999999998</v>
      </c>
      <c r="G23" s="7">
        <f t="shared" si="5"/>
        <v>21.488899999999997</v>
      </c>
      <c r="H23" s="7">
        <f t="shared" si="3"/>
        <v>0.76849999999999952</v>
      </c>
      <c r="I23" s="7">
        <f t="shared" si="6"/>
        <v>3.5762649553955743</v>
      </c>
      <c r="J23" s="7">
        <f t="shared" si="7"/>
        <v>0.2690000000000019</v>
      </c>
      <c r="K23" s="7">
        <f t="shared" si="4"/>
        <v>35.003253090436182</v>
      </c>
      <c r="L23" s="12">
        <f>_xlfn.STDEV.S(I22:I24)</f>
        <v>5.9630639614177958E-2</v>
      </c>
      <c r="M23" s="12">
        <f>_xlfn.STDEV.S(K22:K24)</f>
        <v>2.4553347217464445</v>
      </c>
      <c r="N23" s="12">
        <f t="shared" si="8"/>
        <v>12518.090735216876</v>
      </c>
      <c r="O23" s="11">
        <f>O22/1000</f>
        <v>13.48678659178279</v>
      </c>
      <c r="P23" s="13"/>
    </row>
    <row r="24" spans="1:16" x14ac:dyDescent="0.2">
      <c r="B24">
        <v>9</v>
      </c>
      <c r="C24" s="7">
        <v>20.003299999999999</v>
      </c>
      <c r="D24" s="7">
        <v>40.887999999999998</v>
      </c>
      <c r="E24" s="7">
        <v>20.759499999999999</v>
      </c>
      <c r="F24" s="7">
        <v>20.4605</v>
      </c>
      <c r="G24" s="7">
        <f t="shared" si="5"/>
        <v>20.884699999999999</v>
      </c>
      <c r="H24" s="7">
        <f t="shared" si="3"/>
        <v>0.75619999999999976</v>
      </c>
      <c r="I24" s="7">
        <f t="shared" si="6"/>
        <v>3.620832475448533</v>
      </c>
      <c r="J24" s="7">
        <f t="shared" si="7"/>
        <v>0.29899999999999949</v>
      </c>
      <c r="K24" s="7">
        <f t="shared" si="4"/>
        <v>39.53980428458074</v>
      </c>
      <c r="N24">
        <f t="shared" si="8"/>
        <v>14316.7007426489</v>
      </c>
      <c r="O24" s="12">
        <f>_xlfn.STDEV.S(N22:N24)/1000</f>
        <v>0.90730081069420765</v>
      </c>
    </row>
    <row r="25" spans="1:16" x14ac:dyDescent="0.2">
      <c r="A25" s="15" t="s">
        <v>38</v>
      </c>
      <c r="B25" s="16" t="s">
        <v>39</v>
      </c>
      <c r="C25" s="16">
        <v>25.413699999999999</v>
      </c>
      <c r="D25" s="16">
        <v>47.696599999999997</v>
      </c>
      <c r="E25" s="16">
        <v>27.0459</v>
      </c>
      <c r="F25" s="16">
        <v>25.9404</v>
      </c>
      <c r="G25" s="17">
        <f t="shared" si="5"/>
        <v>22.282899999999998</v>
      </c>
      <c r="H25" s="17">
        <f t="shared" si="3"/>
        <v>1.632200000000001</v>
      </c>
      <c r="I25" s="17">
        <f t="shared" si="6"/>
        <v>7.3248993622912693</v>
      </c>
      <c r="J25" s="17">
        <f t="shared" si="7"/>
        <v>1.1054999999999993</v>
      </c>
      <c r="K25" s="17">
        <f t="shared" si="4"/>
        <v>67.730670260997343</v>
      </c>
      <c r="L25" s="18">
        <f>AVERAGE(I25:I27)</f>
        <v>7.2895670227936309</v>
      </c>
      <c r="M25" s="18">
        <f>AVERAGE(K25:K27)</f>
        <v>70.397549105256005</v>
      </c>
      <c r="N25">
        <f t="shared" si="8"/>
        <v>49612.034340233964</v>
      </c>
      <c r="O25" s="9">
        <f>AVERAGE(N25:N27)</f>
        <v>51314.728971289143</v>
      </c>
      <c r="P25">
        <f>AVERAGE(O26,O29)</f>
        <v>50.156408929642453</v>
      </c>
    </row>
    <row r="26" spans="1:16" x14ac:dyDescent="0.2">
      <c r="A26" s="16"/>
      <c r="B26" s="17" t="s">
        <v>40</v>
      </c>
      <c r="C26" s="17">
        <v>23.897300000000001</v>
      </c>
      <c r="D26" s="17">
        <v>43.817999999999998</v>
      </c>
      <c r="E26" s="16">
        <v>25.356000000000002</v>
      </c>
      <c r="F26" s="16">
        <v>24.298100000000002</v>
      </c>
      <c r="G26" s="17">
        <f t="shared" si="5"/>
        <v>19.920699999999997</v>
      </c>
      <c r="H26" s="17">
        <f t="shared" si="3"/>
        <v>1.4587000000000003</v>
      </c>
      <c r="I26" s="17">
        <f t="shared" si="6"/>
        <v>7.3225338467021768</v>
      </c>
      <c r="J26" s="17">
        <f t="shared" si="7"/>
        <v>1.0579000000000001</v>
      </c>
      <c r="K26" s="17">
        <f t="shared" si="4"/>
        <v>72.52347981079042</v>
      </c>
      <c r="L26" s="15">
        <f>_xlfn.STDEV.S(I25:I27)</f>
        <v>5.9160634779293841E-2</v>
      </c>
      <c r="M26" s="18">
        <f>_xlfn.STDEV.S(K25:K27)</f>
        <v>2.4417666783988303</v>
      </c>
      <c r="N26">
        <f t="shared" si="8"/>
        <v>53105.563559513488</v>
      </c>
      <c r="O26">
        <f>O25/1000</f>
        <v>51.314728971289142</v>
      </c>
      <c r="P26">
        <f>_xlfn.STDEV.S(O27,O30)/1000</f>
        <v>2.2288396170416872E-4</v>
      </c>
    </row>
    <row r="27" spans="1:16" x14ac:dyDescent="0.2">
      <c r="B27">
        <v>25</v>
      </c>
      <c r="C27">
        <v>25.684899999999999</v>
      </c>
      <c r="D27">
        <v>44.778500000000001</v>
      </c>
      <c r="E27">
        <v>27.063700000000001</v>
      </c>
      <c r="F27">
        <v>26.085599999999999</v>
      </c>
      <c r="G27" s="17">
        <f t="shared" si="5"/>
        <v>19.093600000000002</v>
      </c>
      <c r="H27" s="17">
        <f t="shared" si="3"/>
        <v>1.3788000000000018</v>
      </c>
      <c r="I27" s="17">
        <f t="shared" si="6"/>
        <v>7.2212678593874475</v>
      </c>
      <c r="J27" s="17">
        <f t="shared" si="7"/>
        <v>0.9781000000000013</v>
      </c>
      <c r="K27" s="17">
        <f t="shared" si="4"/>
        <v>70.938497243980265</v>
      </c>
      <c r="L27" s="9"/>
      <c r="M27" s="8"/>
      <c r="N27">
        <f t="shared" si="8"/>
        <v>51226.589014119978</v>
      </c>
      <c r="O27">
        <f>_xlfn.STDEV.S(N25:N27)/1000</f>
        <v>1.7484316087646343</v>
      </c>
    </row>
    <row r="28" spans="1:16" x14ac:dyDescent="0.2">
      <c r="A28" s="19" t="s">
        <v>41</v>
      </c>
      <c r="B28" s="20" t="s">
        <v>42</v>
      </c>
      <c r="C28" s="20">
        <v>22.8886</v>
      </c>
      <c r="D28" s="20">
        <v>45.526499999999999</v>
      </c>
      <c r="E28" s="20">
        <v>24.493300000000001</v>
      </c>
      <c r="F28" s="20">
        <v>23.378</v>
      </c>
      <c r="G28" s="21">
        <f t="shared" si="5"/>
        <v>22.637899999999998</v>
      </c>
      <c r="H28" s="21">
        <f t="shared" si="3"/>
        <v>1.6047000000000011</v>
      </c>
      <c r="I28" s="21">
        <f t="shared" si="6"/>
        <v>7.0885550338149788</v>
      </c>
      <c r="J28" s="21">
        <f t="shared" si="7"/>
        <v>1.1153000000000013</v>
      </c>
      <c r="K28" s="21">
        <f t="shared" si="4"/>
        <v>69.50208761762326</v>
      </c>
      <c r="L28" s="22">
        <f>AVERAGE(I28:I30)</f>
        <v>7.0177174732424517</v>
      </c>
      <c r="M28" s="22">
        <f>AVERAGE(K28:K30)</f>
        <v>69.816660696086089</v>
      </c>
      <c r="N28">
        <f t="shared" si="8"/>
        <v>49266.937304255312</v>
      </c>
      <c r="O28" s="9">
        <f>AVERAGE(N28:N30)</f>
        <v>48998.088887995757</v>
      </c>
    </row>
    <row r="29" spans="1:16" x14ac:dyDescent="0.2">
      <c r="A29" s="20"/>
      <c r="B29" s="20" t="s">
        <v>43</v>
      </c>
      <c r="C29" s="20">
        <v>25.5181</v>
      </c>
      <c r="D29" s="20">
        <v>47.478299999999997</v>
      </c>
      <c r="E29" s="20">
        <v>27.043900000000001</v>
      </c>
      <c r="F29" s="20">
        <v>26.001899999999999</v>
      </c>
      <c r="G29" s="21">
        <f t="shared" si="5"/>
        <v>21.960199999999997</v>
      </c>
      <c r="H29" s="21">
        <f t="shared" si="3"/>
        <v>1.5258000000000003</v>
      </c>
      <c r="I29" s="21">
        <f t="shared" si="6"/>
        <v>6.9480241527854965</v>
      </c>
      <c r="J29" s="21">
        <f t="shared" si="7"/>
        <v>1.0420000000000016</v>
      </c>
      <c r="K29" s="21">
        <f t="shared" si="4"/>
        <v>68.2920435181545</v>
      </c>
      <c r="L29" s="19">
        <f>_xlfn.STDEV.S(I28:I30)</f>
        <v>7.0272427699718698E-2</v>
      </c>
      <c r="M29" s="22">
        <f>_xlfn.STDEV.S(K28:K30)</f>
        <v>1.7038243102141974</v>
      </c>
      <c r="N29">
        <f t="shared" si="8"/>
        <v>47449.476780721569</v>
      </c>
      <c r="O29">
        <f>O28/1000</f>
        <v>48.998088887995756</v>
      </c>
    </row>
    <row r="30" spans="1:16" x14ac:dyDescent="0.2">
      <c r="B30">
        <v>84</v>
      </c>
      <c r="C30">
        <v>26.2578</v>
      </c>
      <c r="D30">
        <v>46.682299999999998</v>
      </c>
      <c r="E30">
        <v>27.690899999999999</v>
      </c>
      <c r="F30">
        <v>26.664000000000001</v>
      </c>
      <c r="G30" s="21">
        <f t="shared" si="5"/>
        <v>20.424499999999998</v>
      </c>
      <c r="H30" s="21">
        <f t="shared" si="3"/>
        <v>1.4330999999999996</v>
      </c>
      <c r="I30" s="21">
        <f t="shared" si="6"/>
        <v>7.0165732331268797</v>
      </c>
      <c r="J30" s="21">
        <f t="shared" si="7"/>
        <v>1.0268999999999977</v>
      </c>
      <c r="K30" s="21">
        <f t="shared" si="4"/>
        <v>71.655850952480492</v>
      </c>
      <c r="L30" s="9"/>
      <c r="M30" s="8"/>
      <c r="N30">
        <f t="shared" si="8"/>
        <v>50277.852579010396</v>
      </c>
      <c r="O30">
        <f>_xlfn.STDEV.S(N28:N30)/1000</f>
        <v>1.4332260872871534</v>
      </c>
    </row>
    <row r="31" spans="1:16" x14ac:dyDescent="0.2">
      <c r="A31" s="9"/>
      <c r="G31" s="7"/>
      <c r="H31" s="7"/>
      <c r="I31" s="7"/>
      <c r="J31" s="7"/>
      <c r="K31" s="7"/>
      <c r="L31" s="8"/>
      <c r="M31" s="8"/>
    </row>
    <row r="32" spans="1:16" x14ac:dyDescent="0.2">
      <c r="G32" s="7"/>
      <c r="H32" s="7"/>
      <c r="I32" s="7"/>
      <c r="J32" s="7"/>
      <c r="K32" s="7"/>
      <c r="L32" s="9"/>
      <c r="M32" s="8"/>
    </row>
    <row r="33" spans="1:13" x14ac:dyDescent="0.2">
      <c r="G33" s="7"/>
      <c r="H33" s="7"/>
      <c r="I33" s="7"/>
      <c r="J33" s="7"/>
      <c r="K33" s="7"/>
      <c r="L33" s="9"/>
      <c r="M33" s="8"/>
    </row>
    <row r="34" spans="1:13" x14ac:dyDescent="0.2">
      <c r="A34" s="9"/>
      <c r="G34" s="7"/>
      <c r="H34" s="7"/>
      <c r="I34" s="7"/>
      <c r="J34" s="7"/>
      <c r="K34" s="7"/>
      <c r="L34" s="8"/>
      <c r="M34" s="8"/>
    </row>
    <row r="35" spans="1:13" x14ac:dyDescent="0.2">
      <c r="G35" s="7"/>
      <c r="H35" s="7"/>
      <c r="I35" s="7"/>
      <c r="J35" s="7"/>
      <c r="K35" s="7"/>
    </row>
    <row r="37" spans="1:13" x14ac:dyDescent="0.2">
      <c r="A37" s="55" t="s">
        <v>44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x14ac:dyDescent="0.2">
      <c r="B38" s="23" t="s">
        <v>45</v>
      </c>
      <c r="C38" s="23" t="s">
        <v>46</v>
      </c>
    </row>
    <row r="39" spans="1:13" x14ac:dyDescent="0.2">
      <c r="A39" s="24" t="s">
        <v>28</v>
      </c>
      <c r="B39">
        <v>4.5999999999999996</v>
      </c>
      <c r="C39" s="9">
        <f>AVERAGE(B39:B41)</f>
        <v>4.666666666666667</v>
      </c>
    </row>
    <row r="40" spans="1:13" x14ac:dyDescent="0.2">
      <c r="A40" s="9"/>
      <c r="B40">
        <v>4.7</v>
      </c>
      <c r="C40">
        <f>_xlfn.STDEV.S(B39:B41)</f>
        <v>5.7735026918962887E-2</v>
      </c>
    </row>
    <row r="41" spans="1:13" x14ac:dyDescent="0.2">
      <c r="A41" s="9"/>
      <c r="B41">
        <v>4.7</v>
      </c>
      <c r="C41" s="9"/>
    </row>
    <row r="42" spans="1:13" x14ac:dyDescent="0.2">
      <c r="A42" s="9" t="s">
        <v>47</v>
      </c>
      <c r="B42">
        <v>7.8</v>
      </c>
      <c r="C42" s="11">
        <f>AVERAGE(B42:B44)</f>
        <v>7.6999999999999993</v>
      </c>
    </row>
    <row r="43" spans="1:13" x14ac:dyDescent="0.2">
      <c r="A43" s="9"/>
      <c r="B43">
        <v>7.6</v>
      </c>
      <c r="C43" s="13">
        <f>_xlfn.STDEV.S(B42:B44)</f>
        <v>0.10000000000000009</v>
      </c>
    </row>
    <row r="44" spans="1:13" x14ac:dyDescent="0.2">
      <c r="A44" s="9"/>
      <c r="B44">
        <v>7.7</v>
      </c>
      <c r="C44" s="9"/>
    </row>
    <row r="45" spans="1:13" x14ac:dyDescent="0.2">
      <c r="A45" s="9" t="s">
        <v>34</v>
      </c>
      <c r="B45">
        <v>7</v>
      </c>
      <c r="C45" s="9">
        <f>AVERAGE(B45:B47)</f>
        <v>7.0333333333333341</v>
      </c>
    </row>
    <row r="46" spans="1:13" x14ac:dyDescent="0.2">
      <c r="A46" s="9"/>
      <c r="B46">
        <v>7</v>
      </c>
      <c r="C46" s="13">
        <f>_xlfn.STDEV.S(B45:B47)</f>
        <v>5.7735026918962373E-2</v>
      </c>
    </row>
    <row r="47" spans="1:13" x14ac:dyDescent="0.2">
      <c r="B47">
        <v>7.1</v>
      </c>
      <c r="C47" s="9"/>
    </row>
    <row r="48" spans="1:13" x14ac:dyDescent="0.2">
      <c r="A48" s="9" t="s">
        <v>48</v>
      </c>
      <c r="B48">
        <v>7.1</v>
      </c>
      <c r="C48" s="9">
        <f>AVERAGE(B48:B50)</f>
        <v>7.0999999999999988</v>
      </c>
    </row>
    <row r="49" spans="1:13" x14ac:dyDescent="0.2">
      <c r="B49">
        <v>7.1</v>
      </c>
      <c r="C49" s="13">
        <f>_xlfn.STDEV.S(B48:B50)</f>
        <v>1.0877919644084146E-15</v>
      </c>
    </row>
    <row r="50" spans="1:13" x14ac:dyDescent="0.2">
      <c r="B50">
        <v>7.1</v>
      </c>
    </row>
    <row r="51" spans="1:13" x14ac:dyDescent="0.2">
      <c r="A51" s="55" t="s">
        <v>49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</row>
    <row r="52" spans="1:13" x14ac:dyDescent="0.2">
      <c r="B52" s="23" t="s">
        <v>50</v>
      </c>
      <c r="C52" s="23" t="s">
        <v>51</v>
      </c>
      <c r="D52" s="23" t="s">
        <v>52</v>
      </c>
      <c r="E52" s="25" t="s">
        <v>53</v>
      </c>
    </row>
    <row r="53" spans="1:13" x14ac:dyDescent="0.2">
      <c r="A53" s="9" t="s">
        <v>28</v>
      </c>
      <c r="B53">
        <v>21.4</v>
      </c>
      <c r="C53">
        <v>0.01</v>
      </c>
      <c r="D53" s="11">
        <f>AVERAGE(B53:B54)</f>
        <v>21.75</v>
      </c>
      <c r="E53" s="11">
        <f>AVERAGE(C53:C54)</f>
        <v>2.7349999999999999</v>
      </c>
    </row>
    <row r="54" spans="1:13" x14ac:dyDescent="0.2">
      <c r="A54" s="9"/>
      <c r="B54">
        <v>22.1</v>
      </c>
      <c r="C54">
        <v>5.46</v>
      </c>
      <c r="D54" s="13">
        <f>_xlfn.STDEV.S(B53:B54)</f>
        <v>0.49497474683058529</v>
      </c>
      <c r="E54" s="13">
        <f>_xlfn.STDEV.S(C53:C54)/1000</f>
        <v>3.8537319574666841E-3</v>
      </c>
    </row>
    <row r="55" spans="1:13" x14ac:dyDescent="0.2">
      <c r="A55" s="9"/>
      <c r="D55" s="9"/>
      <c r="E55" s="9"/>
    </row>
    <row r="56" spans="1:13" x14ac:dyDescent="0.2">
      <c r="A56" s="9" t="s">
        <v>32</v>
      </c>
      <c r="B56">
        <v>-137</v>
      </c>
      <c r="C56">
        <v>792</v>
      </c>
      <c r="D56" s="11">
        <f>AVERAGE(B56:B57)</f>
        <v>-121.7</v>
      </c>
      <c r="E56" s="11">
        <f>AVERAGE(C56:C57)</f>
        <v>769.5</v>
      </c>
    </row>
    <row r="57" spans="1:13" x14ac:dyDescent="0.2">
      <c r="A57" s="9"/>
      <c r="B57">
        <v>-106.4</v>
      </c>
      <c r="C57">
        <v>747</v>
      </c>
      <c r="D57" s="13">
        <f>_xlfn.STDEV.S(B56:B57)/1000</f>
        <v>2.1637467504308276E-2</v>
      </c>
      <c r="E57" s="13">
        <f>_xlfn.STDEV.S(C56:C57)/1000</f>
        <v>3.1819805153394637E-2</v>
      </c>
    </row>
    <row r="58" spans="1:13" x14ac:dyDescent="0.2">
      <c r="A58" s="9"/>
      <c r="D58" s="9"/>
      <c r="E58" s="9"/>
    </row>
    <row r="59" spans="1:13" x14ac:dyDescent="0.2">
      <c r="A59" s="9" t="s">
        <v>54</v>
      </c>
      <c r="B59">
        <v>-49.6</v>
      </c>
      <c r="C59">
        <v>0.72</v>
      </c>
      <c r="D59" s="11">
        <f>AVERAGE(B59:B60)</f>
        <v>-57.349999999999994</v>
      </c>
      <c r="E59" s="11">
        <f>AVERAGE(C59:C60)</f>
        <v>122.86</v>
      </c>
    </row>
    <row r="60" spans="1:13" x14ac:dyDescent="0.2">
      <c r="A60" s="9"/>
      <c r="B60">
        <v>-65.099999999999994</v>
      </c>
      <c r="C60">
        <v>245</v>
      </c>
      <c r="D60" s="13">
        <f>_xlfn.STDEV.S(B59:B60)/1000</f>
        <v>1.0960155108391569E-2</v>
      </c>
      <c r="E60" s="26">
        <f>_xlfn.STDEV.S(C59:C60)/1000</f>
        <v>0.17273204450824983</v>
      </c>
    </row>
    <row r="62" spans="1:13" x14ac:dyDescent="0.2">
      <c r="A62" s="9" t="s">
        <v>37</v>
      </c>
      <c r="B62">
        <v>-64.8</v>
      </c>
      <c r="C62">
        <v>7.27</v>
      </c>
      <c r="D62" s="11">
        <f>AVERAGE(B62:B63)</f>
        <v>-57</v>
      </c>
      <c r="E62" s="11">
        <f>AVERAGE(C62:C63)</f>
        <v>7.375</v>
      </c>
    </row>
    <row r="63" spans="1:13" x14ac:dyDescent="0.2">
      <c r="B63">
        <v>-49.2</v>
      </c>
      <c r="C63">
        <v>7.48</v>
      </c>
      <c r="D63" s="13">
        <f>_xlfn.STDEV.S(B62:B63)/1000</f>
        <v>1.1030865786510155E-2</v>
      </c>
      <c r="E63" s="13">
        <f>_xlfn.STDEV.S(C62:C63)/1000</f>
        <v>1.4849242404917559E-4</v>
      </c>
    </row>
  </sheetData>
  <mergeCells count="5">
    <mergeCell ref="A9:M9"/>
    <mergeCell ref="N9:N10"/>
    <mergeCell ref="O9:O10"/>
    <mergeCell ref="A37:M37"/>
    <mergeCell ref="A51:M5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77"/>
  <sheetViews>
    <sheetView zoomScale="66" zoomScaleNormal="100" workbookViewId="0">
      <selection activeCell="D1" sqref="D1:D1048576"/>
    </sheetView>
  </sheetViews>
  <sheetFormatPr baseColWidth="10" defaultColWidth="16.83203125" defaultRowHeight="21" x14ac:dyDescent="0.25"/>
  <cols>
    <col min="1" max="3" width="16.83203125" style="89"/>
    <col min="4" max="4" width="21.6640625" style="89" customWidth="1"/>
    <col min="5" max="16384" width="16.83203125" style="89"/>
  </cols>
  <sheetData>
    <row r="2" spans="2:11" x14ac:dyDescent="0.25">
      <c r="B2" s="96"/>
      <c r="C2" s="67" t="s">
        <v>55</v>
      </c>
      <c r="D2" s="67"/>
      <c r="E2" s="67"/>
      <c r="F2" s="67" t="s">
        <v>56</v>
      </c>
      <c r="G2" s="67"/>
      <c r="H2" s="67"/>
      <c r="I2" s="52"/>
      <c r="J2" s="96"/>
      <c r="K2" s="96"/>
    </row>
    <row r="3" spans="2:11" x14ac:dyDescent="0.25">
      <c r="B3" s="90" t="s">
        <v>155</v>
      </c>
      <c r="C3" s="91" t="s">
        <v>57</v>
      </c>
      <c r="D3" s="92" t="s">
        <v>58</v>
      </c>
      <c r="E3" s="92" t="s">
        <v>59</v>
      </c>
      <c r="F3" s="96"/>
      <c r="G3" s="92" t="s">
        <v>58</v>
      </c>
      <c r="H3" s="92" t="s">
        <v>59</v>
      </c>
      <c r="I3" s="93"/>
      <c r="J3" s="96"/>
      <c r="K3" s="96"/>
    </row>
    <row r="4" spans="2:11" x14ac:dyDescent="0.25">
      <c r="B4" s="90"/>
      <c r="C4" s="91"/>
      <c r="D4" s="92"/>
      <c r="E4" s="92"/>
      <c r="F4" s="96"/>
      <c r="G4" s="92"/>
      <c r="H4" s="92"/>
      <c r="I4" s="93"/>
      <c r="J4" s="96" t="s">
        <v>60</v>
      </c>
      <c r="K4" s="96" t="s">
        <v>206</v>
      </c>
    </row>
    <row r="5" spans="2:11" x14ac:dyDescent="0.25">
      <c r="B5" s="94">
        <v>44286</v>
      </c>
      <c r="C5" s="89">
        <v>0</v>
      </c>
      <c r="D5" s="89">
        <v>6.2</v>
      </c>
      <c r="E5" s="95">
        <v>7.1</v>
      </c>
      <c r="F5" s="95">
        <v>7.1</v>
      </c>
      <c r="G5" s="89">
        <v>6.4</v>
      </c>
      <c r="H5" s="89">
        <v>7</v>
      </c>
      <c r="I5" s="89">
        <v>7</v>
      </c>
      <c r="J5" s="89">
        <f>AVERAGE(E5,F5,H5,I5)</f>
        <v>7.05</v>
      </c>
      <c r="K5" s="89">
        <f>_xlfn.STDEV.S(E5,F5,H5,I5)</f>
        <v>5.7735026918962373E-2</v>
      </c>
    </row>
    <row r="6" spans="2:11" x14ac:dyDescent="0.25">
      <c r="B6" s="94">
        <v>44288</v>
      </c>
      <c r="C6" s="89">
        <v>2</v>
      </c>
      <c r="D6" s="89">
        <v>6.5</v>
      </c>
      <c r="E6" s="89">
        <v>7.2</v>
      </c>
      <c r="F6" s="89">
        <v>7.2</v>
      </c>
      <c r="G6" s="89">
        <v>6.5</v>
      </c>
      <c r="H6" s="89">
        <v>7.2</v>
      </c>
      <c r="I6" s="89">
        <v>7.2</v>
      </c>
      <c r="J6" s="89">
        <f t="shared" ref="J6:J69" si="0">AVERAGE(E6,F6,H6,I6)</f>
        <v>7.2</v>
      </c>
      <c r="K6" s="89">
        <f t="shared" ref="K6:K69" si="1">_xlfn.STDEV.S(E6,F6,H6,I6)</f>
        <v>0</v>
      </c>
    </row>
    <row r="7" spans="2:11" x14ac:dyDescent="0.25">
      <c r="B7" s="94">
        <v>44291</v>
      </c>
      <c r="C7" s="89">
        <v>5</v>
      </c>
      <c r="D7" s="89">
        <v>6.7</v>
      </c>
      <c r="E7" s="89">
        <v>7.1</v>
      </c>
      <c r="F7" s="89">
        <v>7.1</v>
      </c>
      <c r="G7" s="89">
        <v>6.6</v>
      </c>
      <c r="H7" s="89">
        <v>7.1</v>
      </c>
      <c r="I7" s="89">
        <v>7.1</v>
      </c>
      <c r="J7" s="89">
        <f t="shared" si="0"/>
        <v>7.1</v>
      </c>
      <c r="K7" s="89">
        <f t="shared" si="1"/>
        <v>0</v>
      </c>
    </row>
    <row r="8" spans="2:11" x14ac:dyDescent="0.25">
      <c r="B8" s="94">
        <v>44293</v>
      </c>
      <c r="C8" s="89">
        <v>7</v>
      </c>
      <c r="D8" s="89">
        <v>6.8</v>
      </c>
      <c r="E8" s="89">
        <v>7.1</v>
      </c>
      <c r="F8" s="89">
        <v>7.1</v>
      </c>
      <c r="G8" s="89">
        <v>6.8</v>
      </c>
      <c r="H8" s="89">
        <v>7.1</v>
      </c>
      <c r="I8" s="89">
        <v>7.1</v>
      </c>
      <c r="J8" s="89">
        <f t="shared" si="0"/>
        <v>7.1</v>
      </c>
      <c r="K8" s="89">
        <f t="shared" si="1"/>
        <v>0</v>
      </c>
    </row>
    <row r="9" spans="2:11" x14ac:dyDescent="0.25">
      <c r="B9" s="94">
        <v>44295</v>
      </c>
      <c r="C9" s="89">
        <v>9</v>
      </c>
      <c r="D9" s="89">
        <v>6.6</v>
      </c>
      <c r="E9" s="89">
        <v>7.1</v>
      </c>
      <c r="F9" s="89">
        <v>7.1</v>
      </c>
      <c r="G9" s="89">
        <v>6.7</v>
      </c>
      <c r="H9" s="89">
        <v>7.1</v>
      </c>
      <c r="I9" s="89">
        <v>7.1</v>
      </c>
      <c r="J9" s="89">
        <f t="shared" si="0"/>
        <v>7.1</v>
      </c>
      <c r="K9" s="89">
        <f t="shared" si="1"/>
        <v>0</v>
      </c>
    </row>
    <row r="10" spans="2:11" x14ac:dyDescent="0.25">
      <c r="B10" s="94">
        <v>44298</v>
      </c>
      <c r="C10" s="89">
        <v>12</v>
      </c>
      <c r="D10" s="89">
        <v>6.6</v>
      </c>
      <c r="E10" s="89">
        <v>7</v>
      </c>
      <c r="F10" s="89">
        <v>7</v>
      </c>
      <c r="G10" s="89">
        <v>6.8</v>
      </c>
      <c r="H10" s="89">
        <v>7.2</v>
      </c>
      <c r="I10" s="89">
        <v>7.2</v>
      </c>
      <c r="J10" s="89">
        <f t="shared" si="0"/>
        <v>7.1</v>
      </c>
      <c r="K10" s="89">
        <f t="shared" si="1"/>
        <v>0.11547005383792526</v>
      </c>
    </row>
    <row r="11" spans="2:11" x14ac:dyDescent="0.25">
      <c r="B11" s="94">
        <v>44300</v>
      </c>
      <c r="C11" s="89">
        <v>14</v>
      </c>
      <c r="D11" s="89">
        <v>6.6</v>
      </c>
      <c r="E11" s="89">
        <v>7</v>
      </c>
      <c r="F11" s="89">
        <v>7</v>
      </c>
      <c r="G11" s="89">
        <v>6.6</v>
      </c>
      <c r="H11" s="89">
        <v>7.2</v>
      </c>
      <c r="I11" s="89">
        <v>7.2</v>
      </c>
      <c r="J11" s="89">
        <f t="shared" si="0"/>
        <v>7.1</v>
      </c>
      <c r="K11" s="89">
        <f t="shared" si="1"/>
        <v>0.11547005383792526</v>
      </c>
    </row>
    <row r="12" spans="2:11" x14ac:dyDescent="0.25">
      <c r="B12" s="94">
        <v>44302</v>
      </c>
      <c r="C12" s="89">
        <v>16</v>
      </c>
      <c r="D12" s="89">
        <v>6.8</v>
      </c>
      <c r="E12" s="89">
        <v>7</v>
      </c>
      <c r="F12" s="89">
        <v>7</v>
      </c>
      <c r="G12" s="89">
        <v>6.9</v>
      </c>
      <c r="H12" s="89">
        <v>7</v>
      </c>
      <c r="I12" s="89">
        <v>7</v>
      </c>
      <c r="J12" s="89">
        <f t="shared" si="0"/>
        <v>7</v>
      </c>
      <c r="K12" s="89">
        <f t="shared" si="1"/>
        <v>0</v>
      </c>
    </row>
    <row r="13" spans="2:11" x14ac:dyDescent="0.25">
      <c r="B13" s="94">
        <v>44305</v>
      </c>
      <c r="C13" s="89">
        <v>19</v>
      </c>
      <c r="D13" s="89">
        <v>6.9</v>
      </c>
      <c r="E13" s="89">
        <v>7.1</v>
      </c>
      <c r="F13" s="89">
        <v>7.1</v>
      </c>
      <c r="G13" s="89">
        <v>6.8</v>
      </c>
      <c r="H13" s="89">
        <v>7.1</v>
      </c>
      <c r="I13" s="89">
        <v>7.1</v>
      </c>
      <c r="J13" s="89">
        <f t="shared" si="0"/>
        <v>7.1</v>
      </c>
      <c r="K13" s="89">
        <f t="shared" si="1"/>
        <v>0</v>
      </c>
    </row>
    <row r="14" spans="2:11" x14ac:dyDescent="0.25">
      <c r="B14" s="94">
        <v>44307</v>
      </c>
      <c r="C14" s="89">
        <v>21</v>
      </c>
      <c r="D14" s="89">
        <v>6.4</v>
      </c>
      <c r="E14" s="89">
        <v>7.1</v>
      </c>
      <c r="F14" s="89">
        <v>7.1</v>
      </c>
      <c r="G14" s="89">
        <v>7.1</v>
      </c>
      <c r="H14" s="89">
        <v>7.1</v>
      </c>
      <c r="I14" s="89">
        <v>7.1</v>
      </c>
      <c r="J14" s="89">
        <f t="shared" si="0"/>
        <v>7.1</v>
      </c>
      <c r="K14" s="89">
        <f t="shared" si="1"/>
        <v>0</v>
      </c>
    </row>
    <row r="15" spans="2:11" x14ac:dyDescent="0.25">
      <c r="B15" s="94">
        <v>44309</v>
      </c>
      <c r="C15" s="89">
        <v>23</v>
      </c>
      <c r="D15" s="89">
        <v>7.1</v>
      </c>
      <c r="E15" s="89">
        <v>7.1</v>
      </c>
      <c r="F15" s="89">
        <v>7.1</v>
      </c>
      <c r="G15" s="89">
        <v>7</v>
      </c>
      <c r="H15" s="89">
        <v>7</v>
      </c>
      <c r="I15" s="89">
        <v>7</v>
      </c>
      <c r="J15" s="89">
        <f t="shared" si="0"/>
        <v>7.05</v>
      </c>
      <c r="K15" s="89">
        <f t="shared" si="1"/>
        <v>5.7735026918962373E-2</v>
      </c>
    </row>
    <row r="16" spans="2:11" x14ac:dyDescent="0.25">
      <c r="B16" s="94">
        <v>44312</v>
      </c>
      <c r="C16" s="89">
        <v>26</v>
      </c>
      <c r="D16" s="89">
        <v>7.2</v>
      </c>
      <c r="E16" s="89">
        <v>7.2</v>
      </c>
      <c r="F16" s="89">
        <v>7.2</v>
      </c>
      <c r="G16" s="89">
        <v>7</v>
      </c>
      <c r="H16" s="89">
        <v>7</v>
      </c>
      <c r="I16" s="89">
        <v>7</v>
      </c>
      <c r="J16" s="89">
        <f t="shared" si="0"/>
        <v>7.1</v>
      </c>
      <c r="K16" s="89">
        <f t="shared" si="1"/>
        <v>0.11547005383792526</v>
      </c>
    </row>
    <row r="17" spans="2:11" x14ac:dyDescent="0.25">
      <c r="B17" s="94">
        <v>44314</v>
      </c>
      <c r="C17" s="89">
        <v>28</v>
      </c>
      <c r="D17" s="89">
        <v>7.1</v>
      </c>
      <c r="E17" s="89">
        <v>7.1</v>
      </c>
      <c r="F17" s="89">
        <v>7.1</v>
      </c>
      <c r="G17" s="89">
        <v>7</v>
      </c>
      <c r="H17" s="89">
        <v>7</v>
      </c>
      <c r="I17" s="89">
        <v>7</v>
      </c>
      <c r="J17" s="89">
        <f t="shared" si="0"/>
        <v>7.05</v>
      </c>
      <c r="K17" s="89">
        <f t="shared" si="1"/>
        <v>5.7735026918962373E-2</v>
      </c>
    </row>
    <row r="18" spans="2:11" x14ac:dyDescent="0.25">
      <c r="B18" s="94">
        <v>44316</v>
      </c>
      <c r="C18" s="89">
        <v>30</v>
      </c>
      <c r="D18" s="89">
        <v>7.4</v>
      </c>
      <c r="E18" s="89">
        <v>7.1</v>
      </c>
      <c r="F18" s="89">
        <v>7.1</v>
      </c>
      <c r="G18" s="89">
        <v>7</v>
      </c>
      <c r="H18" s="89">
        <v>7</v>
      </c>
      <c r="I18" s="89">
        <v>7</v>
      </c>
      <c r="J18" s="89">
        <f t="shared" si="0"/>
        <v>7.05</v>
      </c>
      <c r="K18" s="89">
        <f t="shared" si="1"/>
        <v>5.7735026918962373E-2</v>
      </c>
    </row>
    <row r="19" spans="2:11" x14ac:dyDescent="0.25">
      <c r="B19" s="94">
        <v>44319</v>
      </c>
      <c r="C19" s="89">
        <v>33</v>
      </c>
      <c r="D19" s="89">
        <v>7.4</v>
      </c>
      <c r="E19" s="89">
        <v>7</v>
      </c>
      <c r="F19" s="89">
        <v>7</v>
      </c>
      <c r="G19" s="89">
        <v>6.5</v>
      </c>
      <c r="H19" s="89">
        <v>7.2</v>
      </c>
      <c r="I19" s="89">
        <v>7.2</v>
      </c>
      <c r="J19" s="89">
        <f t="shared" si="0"/>
        <v>7.1</v>
      </c>
      <c r="K19" s="89">
        <f t="shared" si="1"/>
        <v>0.11547005383792526</v>
      </c>
    </row>
    <row r="20" spans="2:11" x14ac:dyDescent="0.25">
      <c r="B20" s="94">
        <v>44321</v>
      </c>
      <c r="C20" s="89">
        <v>35</v>
      </c>
      <c r="D20" s="89">
        <v>7.4</v>
      </c>
      <c r="E20" s="89">
        <v>7.2</v>
      </c>
      <c r="F20" s="89">
        <v>7.2</v>
      </c>
      <c r="G20" s="89">
        <v>7</v>
      </c>
      <c r="H20" s="89">
        <v>7</v>
      </c>
      <c r="I20" s="89">
        <v>7</v>
      </c>
      <c r="J20" s="89">
        <f t="shared" si="0"/>
        <v>7.1</v>
      </c>
      <c r="K20" s="89">
        <f t="shared" si="1"/>
        <v>0.11547005383792526</v>
      </c>
    </row>
    <row r="21" spans="2:11" x14ac:dyDescent="0.25">
      <c r="B21" s="94">
        <v>44323</v>
      </c>
      <c r="C21" s="89">
        <v>37</v>
      </c>
      <c r="D21" s="89">
        <v>7.3</v>
      </c>
      <c r="E21" s="89">
        <v>7</v>
      </c>
      <c r="F21" s="89">
        <v>7</v>
      </c>
      <c r="G21" s="89">
        <v>7.3</v>
      </c>
      <c r="H21" s="89">
        <v>7</v>
      </c>
      <c r="I21" s="89">
        <v>7</v>
      </c>
      <c r="J21" s="89">
        <f t="shared" si="0"/>
        <v>7</v>
      </c>
      <c r="K21" s="89">
        <f t="shared" si="1"/>
        <v>0</v>
      </c>
    </row>
    <row r="22" spans="2:11" x14ac:dyDescent="0.25">
      <c r="B22" s="94">
        <v>44326</v>
      </c>
      <c r="C22" s="89">
        <v>40</v>
      </c>
      <c r="D22" s="89">
        <v>7.1</v>
      </c>
      <c r="E22" s="89">
        <v>7.1</v>
      </c>
      <c r="F22" s="89">
        <v>7.1</v>
      </c>
      <c r="G22" s="89">
        <v>7.2</v>
      </c>
      <c r="H22" s="89">
        <v>7.1</v>
      </c>
      <c r="I22" s="89">
        <v>7.1</v>
      </c>
      <c r="J22" s="89">
        <f t="shared" si="0"/>
        <v>7.1</v>
      </c>
      <c r="K22" s="89">
        <f t="shared" si="1"/>
        <v>0</v>
      </c>
    </row>
    <row r="23" spans="2:11" x14ac:dyDescent="0.25">
      <c r="B23" s="94">
        <v>44328</v>
      </c>
      <c r="C23" s="89">
        <v>42</v>
      </c>
      <c r="D23" s="89">
        <v>7.2</v>
      </c>
      <c r="E23" s="89">
        <v>7.2</v>
      </c>
      <c r="F23" s="89">
        <v>7.2</v>
      </c>
      <c r="G23" s="89">
        <v>7.2</v>
      </c>
      <c r="H23" s="89">
        <v>7.2</v>
      </c>
      <c r="I23" s="89">
        <v>7.2</v>
      </c>
      <c r="J23" s="89">
        <f t="shared" si="0"/>
        <v>7.2</v>
      </c>
      <c r="K23" s="89">
        <f t="shared" si="1"/>
        <v>0</v>
      </c>
    </row>
    <row r="24" spans="2:11" x14ac:dyDescent="0.25">
      <c r="B24" s="94">
        <v>44330</v>
      </c>
      <c r="C24" s="89">
        <v>44</v>
      </c>
      <c r="D24" s="89">
        <v>7.2</v>
      </c>
      <c r="E24" s="89">
        <v>7</v>
      </c>
      <c r="F24" s="89">
        <v>7</v>
      </c>
      <c r="G24" s="89">
        <v>7.3</v>
      </c>
      <c r="H24" s="89">
        <v>7.1</v>
      </c>
      <c r="I24" s="89">
        <v>7.1</v>
      </c>
      <c r="J24" s="89">
        <f t="shared" si="0"/>
        <v>7.0500000000000007</v>
      </c>
      <c r="K24" s="89">
        <f t="shared" si="1"/>
        <v>5.7735026918962373E-2</v>
      </c>
    </row>
    <row r="25" spans="2:11" x14ac:dyDescent="0.25">
      <c r="B25" s="94">
        <v>44333</v>
      </c>
      <c r="C25" s="89">
        <v>47</v>
      </c>
      <c r="D25" s="89">
        <v>7.3</v>
      </c>
      <c r="E25" s="89">
        <v>7.1</v>
      </c>
      <c r="F25" s="89">
        <v>7.1</v>
      </c>
      <c r="G25" s="89">
        <v>7.4</v>
      </c>
      <c r="H25" s="89">
        <v>7.1</v>
      </c>
      <c r="I25" s="89">
        <v>7.1</v>
      </c>
      <c r="J25" s="89">
        <f t="shared" si="0"/>
        <v>7.1</v>
      </c>
      <c r="K25" s="89">
        <f t="shared" si="1"/>
        <v>0</v>
      </c>
    </row>
    <row r="26" spans="2:11" x14ac:dyDescent="0.25">
      <c r="B26" s="94">
        <v>44335</v>
      </c>
      <c r="C26" s="89">
        <v>49</v>
      </c>
      <c r="D26" s="89">
        <v>7.4</v>
      </c>
      <c r="E26" s="89">
        <v>7.1</v>
      </c>
      <c r="F26" s="89">
        <v>7.1</v>
      </c>
      <c r="G26" s="89">
        <v>7.4</v>
      </c>
      <c r="H26" s="89">
        <v>7.1</v>
      </c>
      <c r="I26" s="89">
        <v>7.1</v>
      </c>
      <c r="J26" s="89">
        <f t="shared" si="0"/>
        <v>7.1</v>
      </c>
      <c r="K26" s="89">
        <f t="shared" si="1"/>
        <v>0</v>
      </c>
    </row>
    <row r="27" spans="2:11" x14ac:dyDescent="0.25">
      <c r="B27" s="94">
        <v>44337</v>
      </c>
      <c r="C27" s="89">
        <v>51</v>
      </c>
      <c r="D27" s="89">
        <v>7.5</v>
      </c>
      <c r="E27" s="89">
        <v>7.1</v>
      </c>
      <c r="F27" s="89">
        <v>7.1</v>
      </c>
      <c r="G27" s="89">
        <v>7.5</v>
      </c>
      <c r="H27" s="89">
        <v>7.1</v>
      </c>
      <c r="I27" s="89">
        <v>7.1</v>
      </c>
      <c r="J27" s="89">
        <f t="shared" si="0"/>
        <v>7.1</v>
      </c>
      <c r="K27" s="89">
        <f t="shared" si="1"/>
        <v>0</v>
      </c>
    </row>
    <row r="28" spans="2:11" x14ac:dyDescent="0.25">
      <c r="B28" s="94">
        <v>44340</v>
      </c>
      <c r="C28" s="89">
        <v>54</v>
      </c>
      <c r="D28" s="89">
        <v>7.3</v>
      </c>
      <c r="E28" s="89">
        <v>7.1</v>
      </c>
      <c r="F28" s="89">
        <v>7.1</v>
      </c>
      <c r="G28" s="89">
        <v>7.4</v>
      </c>
      <c r="H28" s="89">
        <v>7.1</v>
      </c>
      <c r="I28" s="89">
        <v>7.1</v>
      </c>
      <c r="J28" s="89">
        <f t="shared" si="0"/>
        <v>7.1</v>
      </c>
      <c r="K28" s="89">
        <f t="shared" si="1"/>
        <v>0</v>
      </c>
    </row>
    <row r="29" spans="2:11" x14ac:dyDescent="0.25">
      <c r="B29" s="94">
        <v>44342</v>
      </c>
      <c r="C29" s="89">
        <v>56</v>
      </c>
      <c r="D29" s="89">
        <v>7.4</v>
      </c>
      <c r="E29" s="89">
        <v>7.1</v>
      </c>
      <c r="F29" s="89">
        <v>7.1</v>
      </c>
      <c r="G29" s="89">
        <v>7.3</v>
      </c>
      <c r="H29" s="89">
        <v>7.1</v>
      </c>
      <c r="I29" s="89">
        <v>7.1</v>
      </c>
      <c r="J29" s="89">
        <f t="shared" si="0"/>
        <v>7.1</v>
      </c>
      <c r="K29" s="89">
        <f t="shared" si="1"/>
        <v>0</v>
      </c>
    </row>
    <row r="30" spans="2:11" x14ac:dyDescent="0.25">
      <c r="B30" s="94">
        <v>44344</v>
      </c>
      <c r="C30" s="89">
        <v>58</v>
      </c>
      <c r="D30" s="89">
        <v>7.4</v>
      </c>
      <c r="E30" s="89">
        <v>7.1</v>
      </c>
      <c r="F30" s="89">
        <v>7.1</v>
      </c>
      <c r="G30" s="89">
        <v>7.4</v>
      </c>
      <c r="H30" s="89">
        <v>7.1</v>
      </c>
      <c r="I30" s="89">
        <v>7.1</v>
      </c>
      <c r="J30" s="89">
        <f t="shared" si="0"/>
        <v>7.1</v>
      </c>
      <c r="K30" s="89">
        <f t="shared" si="1"/>
        <v>0</v>
      </c>
    </row>
    <row r="31" spans="2:11" x14ac:dyDescent="0.25">
      <c r="B31" s="94">
        <v>44347</v>
      </c>
      <c r="C31" s="89">
        <v>61</v>
      </c>
      <c r="D31" s="89">
        <v>7.3</v>
      </c>
      <c r="E31" s="89">
        <v>7.1</v>
      </c>
      <c r="F31" s="89">
        <v>7.1</v>
      </c>
      <c r="G31" s="89">
        <v>7.4</v>
      </c>
      <c r="H31" s="89">
        <v>7.1</v>
      </c>
      <c r="I31" s="89">
        <v>7.1</v>
      </c>
      <c r="J31" s="89">
        <f t="shared" si="0"/>
        <v>7.1</v>
      </c>
      <c r="K31" s="89">
        <f t="shared" si="1"/>
        <v>0</v>
      </c>
    </row>
    <row r="32" spans="2:11" x14ac:dyDescent="0.25">
      <c r="B32" s="94">
        <v>44349</v>
      </c>
      <c r="C32" s="89">
        <v>63</v>
      </c>
      <c r="D32" s="89">
        <v>7.3</v>
      </c>
      <c r="E32" s="89">
        <v>7.1</v>
      </c>
      <c r="F32" s="89">
        <v>7.1</v>
      </c>
      <c r="G32" s="89">
        <v>7.4</v>
      </c>
      <c r="H32" s="89">
        <v>7.1</v>
      </c>
      <c r="I32" s="89">
        <v>7.1</v>
      </c>
      <c r="J32" s="89">
        <f t="shared" si="0"/>
        <v>7.1</v>
      </c>
      <c r="K32" s="89">
        <f t="shared" si="1"/>
        <v>0</v>
      </c>
    </row>
    <row r="33" spans="2:11" x14ac:dyDescent="0.25">
      <c r="B33" s="94">
        <v>44351</v>
      </c>
      <c r="C33" s="89">
        <v>65</v>
      </c>
      <c r="D33" s="89">
        <v>7.4</v>
      </c>
      <c r="E33" s="89">
        <v>7.1</v>
      </c>
      <c r="F33" s="89">
        <v>7.1</v>
      </c>
      <c r="G33" s="89">
        <v>7.3</v>
      </c>
      <c r="H33" s="89">
        <v>7.1</v>
      </c>
      <c r="I33" s="89">
        <v>7.1</v>
      </c>
      <c r="J33" s="89">
        <f t="shared" si="0"/>
        <v>7.1</v>
      </c>
      <c r="K33" s="89">
        <f t="shared" si="1"/>
        <v>0</v>
      </c>
    </row>
    <row r="34" spans="2:11" x14ac:dyDescent="0.25">
      <c r="B34" s="94">
        <v>44354</v>
      </c>
      <c r="C34" s="89">
        <v>68</v>
      </c>
      <c r="D34" s="89">
        <v>7.3</v>
      </c>
      <c r="E34" s="89">
        <v>7.1</v>
      </c>
      <c r="F34" s="89">
        <v>7.1</v>
      </c>
      <c r="G34" s="89">
        <v>7.4</v>
      </c>
      <c r="H34" s="89">
        <v>7.1</v>
      </c>
      <c r="I34" s="89">
        <v>7.1</v>
      </c>
      <c r="J34" s="89">
        <f t="shared" si="0"/>
        <v>7.1</v>
      </c>
      <c r="K34" s="89">
        <f t="shared" si="1"/>
        <v>0</v>
      </c>
    </row>
    <row r="35" spans="2:11" x14ac:dyDescent="0.25">
      <c r="B35" s="94">
        <v>44356</v>
      </c>
      <c r="C35" s="89">
        <v>70</v>
      </c>
      <c r="D35" s="89">
        <v>7.4</v>
      </c>
      <c r="E35" s="89">
        <v>7.1</v>
      </c>
      <c r="F35" s="89">
        <v>7.1</v>
      </c>
      <c r="G35" s="89">
        <v>7.4</v>
      </c>
      <c r="H35" s="89">
        <v>7.1</v>
      </c>
      <c r="I35" s="89">
        <v>7.1</v>
      </c>
      <c r="J35" s="89">
        <f t="shared" si="0"/>
        <v>7.1</v>
      </c>
      <c r="K35" s="89">
        <f t="shared" si="1"/>
        <v>0</v>
      </c>
    </row>
    <row r="36" spans="2:11" x14ac:dyDescent="0.25">
      <c r="B36" s="94">
        <v>44358</v>
      </c>
      <c r="C36" s="89">
        <v>72</v>
      </c>
      <c r="D36" s="89">
        <v>7.4</v>
      </c>
      <c r="E36" s="89">
        <v>7.1</v>
      </c>
      <c r="F36" s="89">
        <v>7.1</v>
      </c>
      <c r="G36" s="89">
        <v>7.4</v>
      </c>
      <c r="H36" s="89">
        <v>7.1</v>
      </c>
      <c r="I36" s="89">
        <v>7.1</v>
      </c>
      <c r="J36" s="89">
        <f t="shared" si="0"/>
        <v>7.1</v>
      </c>
      <c r="K36" s="89">
        <f t="shared" si="1"/>
        <v>0</v>
      </c>
    </row>
    <row r="37" spans="2:11" x14ac:dyDescent="0.25">
      <c r="B37" s="94">
        <v>44361</v>
      </c>
      <c r="C37" s="89">
        <v>75</v>
      </c>
      <c r="D37" s="89">
        <v>7.4</v>
      </c>
      <c r="E37" s="89">
        <v>7.1</v>
      </c>
      <c r="F37" s="89">
        <v>7.1</v>
      </c>
      <c r="G37" s="89">
        <v>7.4</v>
      </c>
      <c r="H37" s="89">
        <v>7.1</v>
      </c>
      <c r="I37" s="89">
        <v>7.1</v>
      </c>
      <c r="J37" s="89">
        <f t="shared" si="0"/>
        <v>7.1</v>
      </c>
      <c r="K37" s="89">
        <f t="shared" si="1"/>
        <v>0</v>
      </c>
    </row>
    <row r="38" spans="2:11" x14ac:dyDescent="0.25">
      <c r="B38" s="94">
        <v>44363</v>
      </c>
      <c r="C38" s="89">
        <v>77</v>
      </c>
      <c r="D38" s="89">
        <v>7.3</v>
      </c>
      <c r="E38" s="89">
        <v>7.1</v>
      </c>
      <c r="F38" s="89">
        <v>7.1</v>
      </c>
      <c r="G38" s="89">
        <v>7.3</v>
      </c>
      <c r="H38" s="89">
        <v>7.1</v>
      </c>
      <c r="I38" s="89">
        <v>7.1</v>
      </c>
      <c r="J38" s="89">
        <f t="shared" si="0"/>
        <v>7.1</v>
      </c>
      <c r="K38" s="89">
        <f t="shared" si="1"/>
        <v>0</v>
      </c>
    </row>
    <row r="39" spans="2:11" x14ac:dyDescent="0.25">
      <c r="B39" s="94">
        <v>44365</v>
      </c>
      <c r="C39" s="89">
        <v>79</v>
      </c>
      <c r="D39" s="89">
        <v>7.4</v>
      </c>
      <c r="E39" s="89">
        <v>7.1</v>
      </c>
      <c r="F39" s="89">
        <v>7.1</v>
      </c>
      <c r="G39" s="89">
        <v>7.4</v>
      </c>
      <c r="H39" s="89">
        <v>7.1</v>
      </c>
      <c r="I39" s="89">
        <v>7.1</v>
      </c>
      <c r="J39" s="89">
        <f t="shared" si="0"/>
        <v>7.1</v>
      </c>
      <c r="K39" s="89">
        <f t="shared" si="1"/>
        <v>0</v>
      </c>
    </row>
    <row r="40" spans="2:11" x14ac:dyDescent="0.25">
      <c r="B40" s="94">
        <v>44368</v>
      </c>
      <c r="C40" s="89">
        <v>82</v>
      </c>
      <c r="D40" s="89">
        <v>7.4</v>
      </c>
      <c r="E40" s="89">
        <v>7.1</v>
      </c>
      <c r="F40" s="89">
        <v>7.1</v>
      </c>
      <c r="G40" s="89">
        <v>7.4</v>
      </c>
      <c r="H40" s="89">
        <v>7.1</v>
      </c>
      <c r="I40" s="89">
        <v>7.1</v>
      </c>
      <c r="J40" s="89">
        <f t="shared" si="0"/>
        <v>7.1</v>
      </c>
      <c r="K40" s="89">
        <f t="shared" si="1"/>
        <v>0</v>
      </c>
    </row>
    <row r="41" spans="2:11" x14ac:dyDescent="0.25">
      <c r="B41" s="94">
        <v>44370</v>
      </c>
      <c r="C41" s="89">
        <v>84</v>
      </c>
      <c r="D41" s="89">
        <v>7.4</v>
      </c>
      <c r="E41" s="89">
        <v>7.1</v>
      </c>
      <c r="F41" s="89">
        <v>7.1</v>
      </c>
      <c r="G41" s="89">
        <v>7.4</v>
      </c>
      <c r="H41" s="89">
        <v>7.1</v>
      </c>
      <c r="I41" s="89">
        <v>7.1</v>
      </c>
      <c r="J41" s="89">
        <f t="shared" si="0"/>
        <v>7.1</v>
      </c>
      <c r="K41" s="89">
        <f t="shared" si="1"/>
        <v>0</v>
      </c>
    </row>
    <row r="42" spans="2:11" x14ac:dyDescent="0.25">
      <c r="B42" s="94">
        <v>44372</v>
      </c>
      <c r="C42" s="89">
        <v>86</v>
      </c>
      <c r="D42" s="89">
        <v>7.4</v>
      </c>
      <c r="E42" s="89">
        <v>7.1</v>
      </c>
      <c r="F42" s="89">
        <v>7.1</v>
      </c>
      <c r="G42" s="89">
        <v>7.3</v>
      </c>
      <c r="H42" s="89">
        <v>7.1</v>
      </c>
      <c r="I42" s="89">
        <v>7.1</v>
      </c>
      <c r="J42" s="89">
        <f t="shared" si="0"/>
        <v>7.1</v>
      </c>
      <c r="K42" s="89">
        <f t="shared" si="1"/>
        <v>0</v>
      </c>
    </row>
    <row r="43" spans="2:11" x14ac:dyDescent="0.25">
      <c r="B43" s="94">
        <v>44375</v>
      </c>
      <c r="C43" s="89">
        <v>89</v>
      </c>
      <c r="D43" s="89">
        <v>7.5</v>
      </c>
      <c r="E43" s="89">
        <v>7.1</v>
      </c>
      <c r="F43" s="89">
        <v>7.1</v>
      </c>
      <c r="G43" s="89">
        <v>7.4</v>
      </c>
      <c r="H43" s="89">
        <v>7.1</v>
      </c>
      <c r="I43" s="89">
        <v>7.1</v>
      </c>
      <c r="J43" s="89">
        <f t="shared" si="0"/>
        <v>7.1</v>
      </c>
      <c r="K43" s="89">
        <f t="shared" si="1"/>
        <v>0</v>
      </c>
    </row>
    <row r="44" spans="2:11" x14ac:dyDescent="0.25">
      <c r="B44" s="94">
        <v>44377</v>
      </c>
      <c r="C44" s="89">
        <v>91</v>
      </c>
      <c r="D44" s="89">
        <v>7.4</v>
      </c>
      <c r="E44" s="89">
        <v>7.1</v>
      </c>
      <c r="F44" s="89">
        <v>7.1</v>
      </c>
      <c r="G44" s="89">
        <v>7.4</v>
      </c>
      <c r="H44" s="89">
        <v>7.1</v>
      </c>
      <c r="I44" s="89">
        <v>7.1</v>
      </c>
      <c r="J44" s="89">
        <f t="shared" si="0"/>
        <v>7.1</v>
      </c>
      <c r="K44" s="89">
        <f t="shared" si="1"/>
        <v>0</v>
      </c>
    </row>
    <row r="45" spans="2:11" x14ac:dyDescent="0.25">
      <c r="B45" s="94">
        <v>44379</v>
      </c>
      <c r="C45" s="89">
        <v>93</v>
      </c>
      <c r="D45" s="89">
        <v>7.5</v>
      </c>
      <c r="E45" s="89">
        <v>7.1</v>
      </c>
      <c r="F45" s="89">
        <v>7.1</v>
      </c>
      <c r="G45" s="89">
        <v>7.4</v>
      </c>
      <c r="H45" s="89">
        <v>7.1</v>
      </c>
      <c r="I45" s="89">
        <v>7.1</v>
      </c>
      <c r="J45" s="89">
        <f t="shared" si="0"/>
        <v>7.1</v>
      </c>
      <c r="K45" s="89">
        <f t="shared" si="1"/>
        <v>0</v>
      </c>
    </row>
    <row r="46" spans="2:11" x14ac:dyDescent="0.25">
      <c r="B46" s="94">
        <v>44382</v>
      </c>
      <c r="C46" s="89">
        <v>96</v>
      </c>
      <c r="D46" s="89">
        <v>7.4</v>
      </c>
      <c r="E46" s="89">
        <v>7.1</v>
      </c>
      <c r="F46" s="89">
        <v>7.1</v>
      </c>
      <c r="G46" s="89">
        <v>7.4</v>
      </c>
      <c r="H46" s="89">
        <v>7.1</v>
      </c>
      <c r="I46" s="89">
        <v>7.1</v>
      </c>
      <c r="J46" s="89">
        <f t="shared" si="0"/>
        <v>7.1</v>
      </c>
      <c r="K46" s="89">
        <f t="shared" si="1"/>
        <v>0</v>
      </c>
    </row>
    <row r="47" spans="2:11" x14ac:dyDescent="0.25">
      <c r="B47" s="94">
        <v>44384</v>
      </c>
      <c r="C47" s="89">
        <v>98</v>
      </c>
      <c r="D47" s="89">
        <v>7.4</v>
      </c>
      <c r="E47" s="89">
        <v>7.1</v>
      </c>
      <c r="F47" s="89">
        <v>7.1</v>
      </c>
      <c r="G47" s="89">
        <v>7.4</v>
      </c>
      <c r="H47" s="89">
        <v>7.1</v>
      </c>
      <c r="I47" s="89">
        <v>7.1</v>
      </c>
      <c r="J47" s="89">
        <f t="shared" si="0"/>
        <v>7.1</v>
      </c>
      <c r="K47" s="89">
        <f t="shared" si="1"/>
        <v>0</v>
      </c>
    </row>
    <row r="48" spans="2:11" x14ac:dyDescent="0.25">
      <c r="B48" s="94">
        <v>44417</v>
      </c>
      <c r="C48" s="89">
        <v>100</v>
      </c>
      <c r="D48" s="89">
        <v>7.3</v>
      </c>
      <c r="E48" s="89">
        <v>7.1</v>
      </c>
      <c r="F48" s="89">
        <v>7.1</v>
      </c>
      <c r="G48" s="89">
        <v>7.2</v>
      </c>
      <c r="H48" s="89">
        <v>7.1</v>
      </c>
      <c r="I48" s="89">
        <v>7.1</v>
      </c>
      <c r="J48" s="89">
        <f t="shared" si="0"/>
        <v>7.1</v>
      </c>
      <c r="K48" s="89">
        <f t="shared" si="1"/>
        <v>0</v>
      </c>
    </row>
    <row r="49" spans="2:11" x14ac:dyDescent="0.25">
      <c r="B49" s="94">
        <v>44419</v>
      </c>
      <c r="C49" s="89">
        <v>102</v>
      </c>
      <c r="D49" s="89">
        <v>7.2</v>
      </c>
      <c r="E49" s="89">
        <v>7.1</v>
      </c>
      <c r="F49" s="89">
        <v>7.1</v>
      </c>
      <c r="G49" s="89">
        <v>7.3</v>
      </c>
      <c r="H49" s="89">
        <v>7.1</v>
      </c>
      <c r="I49" s="89">
        <v>7.1</v>
      </c>
      <c r="J49" s="89">
        <f t="shared" si="0"/>
        <v>7.1</v>
      </c>
      <c r="K49" s="89">
        <f t="shared" si="1"/>
        <v>0</v>
      </c>
    </row>
    <row r="50" spans="2:11" x14ac:dyDescent="0.25">
      <c r="B50" s="94">
        <v>44421</v>
      </c>
      <c r="C50" s="89">
        <v>104</v>
      </c>
      <c r="D50" s="89">
        <v>7.5</v>
      </c>
      <c r="E50" s="89">
        <v>7.1</v>
      </c>
      <c r="F50" s="89">
        <v>7.1</v>
      </c>
      <c r="G50" s="89">
        <v>7.5</v>
      </c>
      <c r="H50" s="89">
        <v>7.1</v>
      </c>
      <c r="I50" s="89">
        <v>7.1</v>
      </c>
      <c r="J50" s="89">
        <f t="shared" si="0"/>
        <v>7.1</v>
      </c>
      <c r="K50" s="89">
        <f t="shared" si="1"/>
        <v>0</v>
      </c>
    </row>
    <row r="51" spans="2:11" x14ac:dyDescent="0.25">
      <c r="B51" s="94">
        <v>44424</v>
      </c>
      <c r="C51" s="89">
        <v>107</v>
      </c>
      <c r="D51" s="89">
        <v>7.5</v>
      </c>
      <c r="E51" s="89">
        <v>7.1</v>
      </c>
      <c r="F51" s="89">
        <v>7.1</v>
      </c>
      <c r="G51" s="89">
        <v>7.5</v>
      </c>
      <c r="H51" s="89">
        <v>7.1</v>
      </c>
      <c r="I51" s="89">
        <v>7.1</v>
      </c>
      <c r="J51" s="89">
        <f t="shared" si="0"/>
        <v>7.1</v>
      </c>
      <c r="K51" s="89">
        <f t="shared" si="1"/>
        <v>0</v>
      </c>
    </row>
    <row r="52" spans="2:11" x14ac:dyDescent="0.25">
      <c r="B52" s="94">
        <v>44426</v>
      </c>
      <c r="C52" s="89">
        <v>109</v>
      </c>
      <c r="D52" s="89">
        <v>7.5</v>
      </c>
      <c r="E52" s="89">
        <v>7.1</v>
      </c>
      <c r="F52" s="89">
        <v>7.1</v>
      </c>
      <c r="G52" s="89">
        <v>7.3</v>
      </c>
      <c r="H52" s="89">
        <v>7.1</v>
      </c>
      <c r="I52" s="89">
        <v>7.1</v>
      </c>
      <c r="J52" s="89">
        <f t="shared" si="0"/>
        <v>7.1</v>
      </c>
      <c r="K52" s="89">
        <f t="shared" si="1"/>
        <v>0</v>
      </c>
    </row>
    <row r="53" spans="2:11" x14ac:dyDescent="0.25">
      <c r="B53" s="94">
        <v>44428</v>
      </c>
      <c r="C53" s="89">
        <v>111</v>
      </c>
      <c r="D53" s="89">
        <v>7.4</v>
      </c>
      <c r="E53" s="89">
        <v>7.1</v>
      </c>
      <c r="F53" s="89">
        <v>7.1</v>
      </c>
      <c r="G53" s="89">
        <v>7.2</v>
      </c>
      <c r="H53" s="89">
        <v>7.1</v>
      </c>
      <c r="I53" s="89">
        <v>7.1</v>
      </c>
      <c r="J53" s="89">
        <f t="shared" si="0"/>
        <v>7.1</v>
      </c>
      <c r="K53" s="89">
        <f t="shared" si="1"/>
        <v>0</v>
      </c>
    </row>
    <row r="54" spans="2:11" x14ac:dyDescent="0.25">
      <c r="B54" s="94">
        <v>44431</v>
      </c>
      <c r="C54" s="89">
        <v>115</v>
      </c>
      <c r="D54" s="89">
        <v>7</v>
      </c>
      <c r="E54" s="89">
        <v>7</v>
      </c>
      <c r="F54" s="89">
        <v>7</v>
      </c>
      <c r="G54" s="89">
        <v>7</v>
      </c>
      <c r="H54" s="89">
        <v>7</v>
      </c>
      <c r="I54" s="89">
        <v>7</v>
      </c>
      <c r="J54" s="89">
        <f t="shared" si="0"/>
        <v>7</v>
      </c>
      <c r="K54" s="89">
        <f t="shared" si="1"/>
        <v>0</v>
      </c>
    </row>
    <row r="55" spans="2:11" x14ac:dyDescent="0.25">
      <c r="B55" s="94">
        <v>44433</v>
      </c>
      <c r="C55" s="89">
        <v>117</v>
      </c>
      <c r="D55" s="89">
        <v>7.1</v>
      </c>
      <c r="E55" s="89">
        <v>7.1</v>
      </c>
      <c r="F55" s="89">
        <v>7.1</v>
      </c>
      <c r="G55" s="89">
        <v>7</v>
      </c>
      <c r="H55" s="89">
        <v>7</v>
      </c>
      <c r="I55" s="89">
        <v>7</v>
      </c>
      <c r="J55" s="89">
        <f t="shared" si="0"/>
        <v>7.05</v>
      </c>
      <c r="K55" s="89">
        <f t="shared" si="1"/>
        <v>5.7735026918962373E-2</v>
      </c>
    </row>
    <row r="56" spans="2:11" x14ac:dyDescent="0.25">
      <c r="B56" s="94">
        <v>44435</v>
      </c>
      <c r="C56" s="89">
        <v>119</v>
      </c>
      <c r="D56" s="89">
        <v>7</v>
      </c>
      <c r="E56" s="89">
        <v>7</v>
      </c>
      <c r="F56" s="89">
        <v>7</v>
      </c>
      <c r="G56" s="89">
        <v>7</v>
      </c>
      <c r="H56" s="89">
        <v>7</v>
      </c>
      <c r="I56" s="89">
        <v>7</v>
      </c>
      <c r="J56" s="89">
        <f>AVERAGE(E56,F56,H56,I56)</f>
        <v>7</v>
      </c>
      <c r="K56" s="89">
        <f t="shared" si="1"/>
        <v>0</v>
      </c>
    </row>
    <row r="57" spans="2:11" x14ac:dyDescent="0.25">
      <c r="B57" s="94">
        <v>44438</v>
      </c>
      <c r="C57" s="89">
        <v>122</v>
      </c>
      <c r="D57" s="89">
        <v>7.1</v>
      </c>
      <c r="E57" s="89">
        <v>7.1</v>
      </c>
      <c r="F57" s="89">
        <v>7.1</v>
      </c>
      <c r="G57" s="89">
        <v>7.1</v>
      </c>
      <c r="H57" s="89">
        <v>7.1</v>
      </c>
      <c r="I57" s="89">
        <v>7.1</v>
      </c>
      <c r="J57" s="89">
        <f t="shared" si="0"/>
        <v>7.1</v>
      </c>
      <c r="K57" s="89">
        <f t="shared" si="1"/>
        <v>0</v>
      </c>
    </row>
    <row r="58" spans="2:11" x14ac:dyDescent="0.25">
      <c r="B58" s="94">
        <v>44440</v>
      </c>
      <c r="C58" s="89">
        <v>124</v>
      </c>
      <c r="D58" s="89">
        <v>7.1</v>
      </c>
      <c r="E58" s="89">
        <v>7.1</v>
      </c>
      <c r="F58" s="89">
        <v>7.1</v>
      </c>
      <c r="G58" s="89">
        <v>7.2</v>
      </c>
      <c r="H58" s="89">
        <v>7.1</v>
      </c>
      <c r="I58" s="89">
        <v>7.1</v>
      </c>
      <c r="J58" s="89">
        <f t="shared" si="0"/>
        <v>7.1</v>
      </c>
      <c r="K58" s="89">
        <f t="shared" si="1"/>
        <v>0</v>
      </c>
    </row>
    <row r="59" spans="2:11" x14ac:dyDescent="0.25">
      <c r="B59" s="94">
        <v>44442</v>
      </c>
      <c r="C59" s="89">
        <v>126</v>
      </c>
      <c r="D59" s="89">
        <v>7</v>
      </c>
      <c r="E59" s="89">
        <v>7</v>
      </c>
      <c r="F59" s="89">
        <v>7</v>
      </c>
      <c r="G59" s="89">
        <v>7</v>
      </c>
      <c r="H59" s="89">
        <v>7</v>
      </c>
      <c r="I59" s="89">
        <v>7</v>
      </c>
      <c r="J59" s="89">
        <f t="shared" si="0"/>
        <v>7</v>
      </c>
      <c r="K59" s="89">
        <f t="shared" si="1"/>
        <v>0</v>
      </c>
    </row>
    <row r="60" spans="2:11" x14ac:dyDescent="0.25">
      <c r="B60" s="94">
        <v>44445</v>
      </c>
      <c r="C60" s="89">
        <v>129</v>
      </c>
      <c r="D60" s="89">
        <v>7.2</v>
      </c>
      <c r="E60" s="89">
        <v>7.1</v>
      </c>
      <c r="F60" s="89">
        <v>7.1</v>
      </c>
      <c r="G60" s="89">
        <v>7.2</v>
      </c>
      <c r="H60" s="89">
        <v>7.1</v>
      </c>
      <c r="I60" s="89">
        <v>7.1</v>
      </c>
      <c r="J60" s="89">
        <f t="shared" si="0"/>
        <v>7.1</v>
      </c>
      <c r="K60" s="89">
        <f t="shared" si="1"/>
        <v>0</v>
      </c>
    </row>
    <row r="61" spans="2:11" x14ac:dyDescent="0.25">
      <c r="B61" s="94">
        <v>44447</v>
      </c>
      <c r="C61" s="89">
        <v>131</v>
      </c>
      <c r="D61" s="89">
        <v>7</v>
      </c>
      <c r="E61" s="89">
        <v>7</v>
      </c>
      <c r="F61" s="89">
        <v>7</v>
      </c>
      <c r="G61" s="89">
        <v>7</v>
      </c>
      <c r="H61" s="89">
        <v>7</v>
      </c>
      <c r="I61" s="89">
        <v>7</v>
      </c>
      <c r="J61" s="89">
        <f t="shared" si="0"/>
        <v>7</v>
      </c>
      <c r="K61" s="89">
        <f t="shared" si="1"/>
        <v>0</v>
      </c>
    </row>
    <row r="62" spans="2:11" x14ac:dyDescent="0.25">
      <c r="B62" s="94">
        <v>44449</v>
      </c>
      <c r="C62" s="89">
        <v>133</v>
      </c>
      <c r="D62" s="89">
        <v>7</v>
      </c>
      <c r="E62" s="89">
        <v>7</v>
      </c>
      <c r="F62" s="89">
        <v>7</v>
      </c>
      <c r="G62" s="89">
        <v>7</v>
      </c>
      <c r="H62" s="89">
        <v>7</v>
      </c>
      <c r="I62" s="89">
        <v>7</v>
      </c>
      <c r="J62" s="89">
        <f t="shared" si="0"/>
        <v>7</v>
      </c>
      <c r="K62" s="89">
        <f t="shared" si="1"/>
        <v>0</v>
      </c>
    </row>
    <row r="63" spans="2:11" x14ac:dyDescent="0.25">
      <c r="B63" s="94">
        <v>44452</v>
      </c>
      <c r="C63" s="89">
        <v>136</v>
      </c>
      <c r="D63" s="89">
        <v>7</v>
      </c>
      <c r="E63" s="89">
        <v>7</v>
      </c>
      <c r="F63" s="89">
        <v>7</v>
      </c>
      <c r="G63" s="89">
        <v>7</v>
      </c>
      <c r="H63" s="89">
        <v>7</v>
      </c>
      <c r="I63" s="89">
        <v>7</v>
      </c>
      <c r="J63" s="89">
        <f t="shared" si="0"/>
        <v>7</v>
      </c>
      <c r="K63" s="89">
        <f t="shared" si="1"/>
        <v>0</v>
      </c>
    </row>
    <row r="64" spans="2:11" x14ac:dyDescent="0.25">
      <c r="B64" s="94">
        <v>44454</v>
      </c>
      <c r="C64" s="89">
        <v>138</v>
      </c>
      <c r="D64" s="89">
        <v>7</v>
      </c>
      <c r="E64" s="89">
        <v>7</v>
      </c>
      <c r="F64" s="89">
        <v>7</v>
      </c>
      <c r="G64" s="89">
        <v>7</v>
      </c>
      <c r="H64" s="89">
        <v>7</v>
      </c>
      <c r="I64" s="89">
        <v>7</v>
      </c>
      <c r="J64" s="89">
        <f t="shared" si="0"/>
        <v>7</v>
      </c>
      <c r="K64" s="89">
        <f t="shared" si="1"/>
        <v>0</v>
      </c>
    </row>
    <row r="65" spans="2:11" x14ac:dyDescent="0.25">
      <c r="B65" s="94">
        <v>44456</v>
      </c>
      <c r="C65" s="89">
        <v>140</v>
      </c>
      <c r="D65" s="89">
        <v>7</v>
      </c>
      <c r="E65" s="89">
        <v>7</v>
      </c>
      <c r="F65" s="89">
        <v>7</v>
      </c>
      <c r="G65" s="89">
        <v>7</v>
      </c>
      <c r="H65" s="89">
        <v>7</v>
      </c>
      <c r="I65" s="89">
        <v>7</v>
      </c>
      <c r="J65" s="89">
        <f t="shared" si="0"/>
        <v>7</v>
      </c>
      <c r="K65" s="89">
        <f t="shared" si="1"/>
        <v>0</v>
      </c>
    </row>
    <row r="66" spans="2:11" x14ac:dyDescent="0.25">
      <c r="B66" s="94">
        <v>44459</v>
      </c>
      <c r="C66" s="89">
        <v>143</v>
      </c>
      <c r="D66" s="89">
        <v>7</v>
      </c>
      <c r="E66" s="89">
        <v>7</v>
      </c>
      <c r="F66" s="89">
        <v>7</v>
      </c>
      <c r="G66" s="89">
        <v>7</v>
      </c>
      <c r="H66" s="89">
        <v>7</v>
      </c>
      <c r="I66" s="89">
        <v>7</v>
      </c>
      <c r="J66" s="89">
        <f t="shared" si="0"/>
        <v>7</v>
      </c>
      <c r="K66" s="89">
        <f t="shared" si="1"/>
        <v>0</v>
      </c>
    </row>
    <row r="67" spans="2:11" x14ac:dyDescent="0.25">
      <c r="B67" s="94">
        <v>44461</v>
      </c>
      <c r="C67" s="89">
        <v>145</v>
      </c>
      <c r="D67" s="89">
        <v>6.8</v>
      </c>
      <c r="E67" s="89">
        <v>6.8</v>
      </c>
      <c r="F67" s="89">
        <v>6.8</v>
      </c>
      <c r="G67" s="89">
        <v>6.8</v>
      </c>
      <c r="H67" s="89">
        <v>6.8</v>
      </c>
      <c r="I67" s="89">
        <v>6.8</v>
      </c>
      <c r="J67" s="89">
        <f t="shared" si="0"/>
        <v>6.8</v>
      </c>
      <c r="K67" s="89">
        <f t="shared" si="1"/>
        <v>0</v>
      </c>
    </row>
    <row r="68" spans="2:11" x14ac:dyDescent="0.25">
      <c r="B68" s="94">
        <v>44463</v>
      </c>
      <c r="C68" s="89">
        <v>147</v>
      </c>
      <c r="D68" s="89">
        <v>6.7</v>
      </c>
      <c r="E68" s="89">
        <v>6.7</v>
      </c>
      <c r="F68" s="89">
        <v>6.7</v>
      </c>
      <c r="G68" s="89">
        <v>6.6</v>
      </c>
      <c r="H68" s="89">
        <v>6.6</v>
      </c>
      <c r="I68" s="89">
        <v>6.6</v>
      </c>
      <c r="J68" s="89">
        <f t="shared" si="0"/>
        <v>6.65</v>
      </c>
      <c r="K68" s="89">
        <f t="shared" si="1"/>
        <v>5.7735026918962887E-2</v>
      </c>
    </row>
    <row r="69" spans="2:11" x14ac:dyDescent="0.25">
      <c r="B69" s="94">
        <v>44466</v>
      </c>
      <c r="C69" s="89">
        <v>150</v>
      </c>
      <c r="D69" s="89">
        <v>6.5</v>
      </c>
      <c r="E69" s="89">
        <v>6.5</v>
      </c>
      <c r="F69" s="89">
        <v>6.5</v>
      </c>
      <c r="G69" s="89">
        <v>6.5</v>
      </c>
      <c r="H69" s="89">
        <v>6.5</v>
      </c>
      <c r="I69" s="89">
        <v>6.5</v>
      </c>
      <c r="J69" s="89">
        <f t="shared" si="0"/>
        <v>6.5</v>
      </c>
      <c r="K69" s="89">
        <f t="shared" si="1"/>
        <v>0</v>
      </c>
    </row>
    <row r="70" spans="2:11" x14ac:dyDescent="0.25">
      <c r="B70" s="94">
        <v>44468</v>
      </c>
      <c r="C70" s="89">
        <v>152</v>
      </c>
      <c r="D70" s="89">
        <v>6.8</v>
      </c>
      <c r="E70" s="89">
        <v>6.8</v>
      </c>
      <c r="F70" s="89">
        <v>6.8</v>
      </c>
      <c r="G70" s="89">
        <v>6.5</v>
      </c>
      <c r="H70" s="89">
        <v>6.5</v>
      </c>
      <c r="I70" s="89">
        <v>6.5</v>
      </c>
      <c r="J70" s="89">
        <f t="shared" ref="J70:J72" si="2">AVERAGE(E70,F70,H70,I70)</f>
        <v>6.65</v>
      </c>
      <c r="K70" s="89">
        <f t="shared" ref="K70:K72" si="3">_xlfn.STDEV.S(E70,F70,H70,I70)</f>
        <v>0.17320508075688762</v>
      </c>
    </row>
    <row r="71" spans="2:11" x14ac:dyDescent="0.25">
      <c r="B71" s="94">
        <v>44470</v>
      </c>
      <c r="C71" s="89">
        <v>154</v>
      </c>
      <c r="D71" s="89">
        <v>6.9</v>
      </c>
      <c r="E71" s="89">
        <v>6.9</v>
      </c>
      <c r="F71" s="89">
        <v>6.9</v>
      </c>
      <c r="G71" s="89">
        <v>6.7</v>
      </c>
      <c r="H71" s="89">
        <v>6.7</v>
      </c>
      <c r="I71" s="89">
        <v>6.7</v>
      </c>
      <c r="J71" s="89">
        <f t="shared" si="2"/>
        <v>6.8</v>
      </c>
      <c r="K71" s="89">
        <f t="shared" si="3"/>
        <v>0.11547005383792526</v>
      </c>
    </row>
    <row r="72" spans="2:11" x14ac:dyDescent="0.25">
      <c r="B72" s="94">
        <v>44473</v>
      </c>
      <c r="C72" s="89">
        <v>157</v>
      </c>
      <c r="D72" s="89">
        <v>7</v>
      </c>
      <c r="E72" s="89">
        <v>7</v>
      </c>
      <c r="F72" s="89">
        <v>7</v>
      </c>
      <c r="G72" s="89">
        <v>6.7</v>
      </c>
      <c r="H72" s="89">
        <v>6.7</v>
      </c>
      <c r="I72" s="89">
        <v>6.7</v>
      </c>
      <c r="J72" s="89">
        <f t="shared" si="2"/>
        <v>6.85</v>
      </c>
      <c r="K72" s="89">
        <f t="shared" si="3"/>
        <v>0.17320508075688765</v>
      </c>
    </row>
    <row r="73" spans="2:11" x14ac:dyDescent="0.25">
      <c r="B73" s="94">
        <v>44475</v>
      </c>
      <c r="C73" s="89">
        <v>159</v>
      </c>
      <c r="D73" s="89">
        <v>7</v>
      </c>
      <c r="E73" s="89">
        <v>7</v>
      </c>
      <c r="F73" s="89">
        <v>7</v>
      </c>
      <c r="G73" s="89">
        <v>6</v>
      </c>
      <c r="H73" s="89">
        <v>6.8</v>
      </c>
    </row>
    <row r="74" spans="2:11" x14ac:dyDescent="0.25">
      <c r="B74" s="94">
        <v>44477</v>
      </c>
      <c r="C74" s="89">
        <v>161</v>
      </c>
      <c r="D74" s="89">
        <v>7.2</v>
      </c>
      <c r="E74" s="89">
        <v>7.2</v>
      </c>
      <c r="F74" s="89">
        <v>7.2</v>
      </c>
      <c r="G74" s="89">
        <v>7.1</v>
      </c>
      <c r="H74" s="89">
        <v>7.1</v>
      </c>
    </row>
    <row r="75" spans="2:11" x14ac:dyDescent="0.25">
      <c r="B75" s="94">
        <v>44480</v>
      </c>
      <c r="C75" s="89">
        <v>164</v>
      </c>
      <c r="D75" s="89">
        <v>7.2</v>
      </c>
      <c r="E75" s="89">
        <v>7.2</v>
      </c>
      <c r="F75" s="89">
        <v>7.2</v>
      </c>
      <c r="G75" s="89">
        <v>7.3</v>
      </c>
      <c r="H75" s="89">
        <v>7.3</v>
      </c>
    </row>
    <row r="76" spans="2:11" x14ac:dyDescent="0.25">
      <c r="B76" s="94">
        <v>44475</v>
      </c>
    </row>
    <row r="77" spans="2:11" x14ac:dyDescent="0.25">
      <c r="B77" s="94">
        <v>44476</v>
      </c>
    </row>
  </sheetData>
  <mergeCells count="8">
    <mergeCell ref="B3:B4"/>
    <mergeCell ref="C2:E2"/>
    <mergeCell ref="F2:H2"/>
    <mergeCell ref="C3:C4"/>
    <mergeCell ref="D3:D4"/>
    <mergeCell ref="E3:E4"/>
    <mergeCell ref="G3:G4"/>
    <mergeCell ref="H3:H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"/>
  <sheetViews>
    <sheetView topLeftCell="I31" zoomScale="79" zoomScaleNormal="100" workbookViewId="0">
      <selection activeCell="V10" sqref="V10"/>
    </sheetView>
  </sheetViews>
  <sheetFormatPr baseColWidth="10" defaultRowHeight="15" x14ac:dyDescent="0.2"/>
  <sheetData>
    <row r="1" spans="1:11" x14ac:dyDescent="0.2">
      <c r="D1" s="58" t="s">
        <v>90</v>
      </c>
      <c r="E1" s="58"/>
    </row>
    <row r="2" spans="1:11" x14ac:dyDescent="0.2">
      <c r="D2" s="57" t="s">
        <v>64</v>
      </c>
      <c r="E2" s="57"/>
      <c r="F2" s="27"/>
      <c r="H2" s="57" t="s">
        <v>56</v>
      </c>
      <c r="I2" s="57"/>
    </row>
    <row r="3" spans="1:11" x14ac:dyDescent="0.2">
      <c r="B3" s="25" t="s">
        <v>57</v>
      </c>
      <c r="C3" t="s">
        <v>62</v>
      </c>
      <c r="D3" t="s">
        <v>61</v>
      </c>
      <c r="F3" s="25"/>
      <c r="G3" t="s">
        <v>62</v>
      </c>
      <c r="H3" t="s">
        <v>61</v>
      </c>
      <c r="J3" t="s">
        <v>205</v>
      </c>
      <c r="K3" t="s">
        <v>206</v>
      </c>
    </row>
    <row r="4" spans="1:11" x14ac:dyDescent="0.2">
      <c r="A4" s="30">
        <v>44286</v>
      </c>
      <c r="B4">
        <v>0</v>
      </c>
      <c r="C4">
        <v>-190.3</v>
      </c>
      <c r="D4">
        <v>-190.5</v>
      </c>
      <c r="G4">
        <v>-199.8</v>
      </c>
      <c r="H4">
        <v>-200.9</v>
      </c>
      <c r="J4">
        <f>AVERAGE(C4,D4,G4,H4)</f>
        <v>-195.375</v>
      </c>
      <c r="K4">
        <f>_xlfn.STDEV.S(C4,D4,G4,H4)</f>
        <v>5.7627395105684487</v>
      </c>
    </row>
    <row r="5" spans="1:11" x14ac:dyDescent="0.2">
      <c r="A5" s="30">
        <v>44288</v>
      </c>
      <c r="B5">
        <v>2</v>
      </c>
      <c r="C5">
        <v>-200.4</v>
      </c>
      <c r="D5">
        <v>-207.9</v>
      </c>
      <c r="G5">
        <v>-210.6</v>
      </c>
      <c r="H5">
        <v>-213.3</v>
      </c>
      <c r="J5">
        <f t="shared" ref="J5:J68" si="0">AVERAGE(C5,D5,G5,H5)</f>
        <v>-208.05</v>
      </c>
      <c r="K5">
        <f t="shared" ref="K5:K68" si="1">_xlfn.STDEV.S(C5,D5,G5,H5)</f>
        <v>5.5560777532356402</v>
      </c>
    </row>
    <row r="6" spans="1:11" x14ac:dyDescent="0.2">
      <c r="A6" s="30">
        <v>44291</v>
      </c>
      <c r="B6">
        <v>5</v>
      </c>
      <c r="C6">
        <v>-208.6</v>
      </c>
      <c r="D6">
        <v>-207.4</v>
      </c>
      <c r="G6">
        <v>-212.6</v>
      </c>
      <c r="H6">
        <v>-211.8</v>
      </c>
      <c r="J6">
        <f t="shared" si="0"/>
        <v>-210.10000000000002</v>
      </c>
      <c r="K6">
        <f t="shared" si="1"/>
        <v>2.4953289696283867</v>
      </c>
    </row>
    <row r="7" spans="1:11" x14ac:dyDescent="0.2">
      <c r="A7" s="30">
        <v>44293</v>
      </c>
      <c r="B7">
        <v>7</v>
      </c>
      <c r="C7">
        <v>-215.2</v>
      </c>
      <c r="D7">
        <v>-217.9</v>
      </c>
      <c r="G7">
        <v>-219.5</v>
      </c>
      <c r="H7">
        <v>-222.4</v>
      </c>
      <c r="J7">
        <f t="shared" si="0"/>
        <v>-218.75</v>
      </c>
      <c r="K7">
        <f t="shared" si="1"/>
        <v>3.0116440692751256</v>
      </c>
    </row>
    <row r="8" spans="1:11" x14ac:dyDescent="0.2">
      <c r="A8" s="30">
        <v>44295</v>
      </c>
      <c r="B8">
        <v>9</v>
      </c>
      <c r="C8">
        <v>-233.6</v>
      </c>
      <c r="D8">
        <v>-236.6</v>
      </c>
      <c r="G8">
        <v>-240.8</v>
      </c>
      <c r="H8">
        <v>-245.4</v>
      </c>
      <c r="J8">
        <f t="shared" si="0"/>
        <v>-239.1</v>
      </c>
      <c r="K8">
        <f t="shared" si="1"/>
        <v>5.1341990611973811</v>
      </c>
    </row>
    <row r="9" spans="1:11" x14ac:dyDescent="0.2">
      <c r="A9" s="30">
        <v>44298</v>
      </c>
      <c r="B9">
        <v>12</v>
      </c>
      <c r="C9">
        <v>-240.2</v>
      </c>
      <c r="D9">
        <v>-248.2</v>
      </c>
      <c r="G9">
        <v>-243</v>
      </c>
      <c r="H9">
        <v>-245.6</v>
      </c>
      <c r="J9">
        <f t="shared" si="0"/>
        <v>-244.25</v>
      </c>
      <c r="K9">
        <f t="shared" si="1"/>
        <v>3.4346275877694019</v>
      </c>
    </row>
    <row r="10" spans="1:11" x14ac:dyDescent="0.2">
      <c r="A10" s="30">
        <v>44300</v>
      </c>
      <c r="B10">
        <v>14</v>
      </c>
      <c r="C10">
        <v>-248</v>
      </c>
      <c r="D10">
        <v>-250.6</v>
      </c>
      <c r="G10">
        <v>-250.7</v>
      </c>
      <c r="H10">
        <v>-249.3</v>
      </c>
      <c r="J10">
        <f t="shared" si="0"/>
        <v>-249.64999999999998</v>
      </c>
      <c r="K10">
        <f t="shared" si="1"/>
        <v>1.2714820748507045</v>
      </c>
    </row>
    <row r="11" spans="1:11" x14ac:dyDescent="0.2">
      <c r="A11" s="30">
        <v>44302</v>
      </c>
      <c r="B11">
        <v>16</v>
      </c>
      <c r="C11">
        <v>-250.7</v>
      </c>
      <c r="D11">
        <v>-250</v>
      </c>
      <c r="G11">
        <v>-264.89999999999998</v>
      </c>
      <c r="H11">
        <v>-250</v>
      </c>
      <c r="J11">
        <f t="shared" si="0"/>
        <v>-253.89999999999998</v>
      </c>
      <c r="K11">
        <f t="shared" si="1"/>
        <v>7.3407538214182422</v>
      </c>
    </row>
    <row r="12" spans="1:11" x14ac:dyDescent="0.2">
      <c r="A12" s="30">
        <v>44305</v>
      </c>
      <c r="B12">
        <v>19</v>
      </c>
      <c r="C12">
        <v>-265.5</v>
      </c>
      <c r="D12">
        <v>-265.89999999999998</v>
      </c>
      <c r="G12">
        <v>-267.8</v>
      </c>
      <c r="H12">
        <v>-267.89999999999998</v>
      </c>
      <c r="J12">
        <f t="shared" si="0"/>
        <v>-266.77499999999998</v>
      </c>
      <c r="K12">
        <f>_xlfn.STDEV.S(C12,D12,G12,H12)</f>
        <v>1.2526638282742384</v>
      </c>
    </row>
    <row r="13" spans="1:11" x14ac:dyDescent="0.2">
      <c r="A13" s="30">
        <v>44307</v>
      </c>
      <c r="B13">
        <v>21</v>
      </c>
      <c r="C13">
        <v>-270.39999999999998</v>
      </c>
      <c r="D13">
        <v>-270.8</v>
      </c>
      <c r="G13">
        <v>-277.3</v>
      </c>
      <c r="H13">
        <v>-275.39999999999998</v>
      </c>
      <c r="J13">
        <f t="shared" si="0"/>
        <v>-273.47500000000002</v>
      </c>
      <c r="K13">
        <f t="shared" si="1"/>
        <v>3.4130875562555807</v>
      </c>
    </row>
    <row r="14" spans="1:11" x14ac:dyDescent="0.2">
      <c r="A14" s="30">
        <v>44309</v>
      </c>
      <c r="B14">
        <v>23</v>
      </c>
      <c r="C14">
        <v>-292.7</v>
      </c>
      <c r="D14">
        <v>-299.2</v>
      </c>
      <c r="G14">
        <v>-276.2</v>
      </c>
      <c r="H14">
        <v>-275.60000000000002</v>
      </c>
      <c r="J14">
        <f t="shared" si="0"/>
        <v>-285.92499999999995</v>
      </c>
      <c r="K14">
        <f t="shared" si="1"/>
        <v>11.878657331533718</v>
      </c>
    </row>
    <row r="15" spans="1:11" x14ac:dyDescent="0.2">
      <c r="A15" s="30">
        <v>44312</v>
      </c>
      <c r="B15">
        <v>26</v>
      </c>
      <c r="C15">
        <v>-300.3</v>
      </c>
      <c r="D15">
        <v>-301.2</v>
      </c>
      <c r="G15">
        <v>-309.8</v>
      </c>
      <c r="H15">
        <v>-307.39999999999998</v>
      </c>
      <c r="J15">
        <f t="shared" si="0"/>
        <v>-304.67499999999995</v>
      </c>
      <c r="K15">
        <f t="shared" si="1"/>
        <v>4.6514334708058893</v>
      </c>
    </row>
    <row r="16" spans="1:11" x14ac:dyDescent="0.2">
      <c r="A16" s="30">
        <v>44314</v>
      </c>
      <c r="B16">
        <v>28</v>
      </c>
      <c r="C16">
        <v>-309.89999999999998</v>
      </c>
      <c r="D16">
        <v>-310</v>
      </c>
      <c r="G16">
        <v>-310.10000000000002</v>
      </c>
      <c r="H16">
        <v>-311.3</v>
      </c>
      <c r="J16">
        <f t="shared" si="0"/>
        <v>-310.32499999999999</v>
      </c>
      <c r="K16">
        <f t="shared" si="1"/>
        <v>0.65510813356779285</v>
      </c>
    </row>
    <row r="17" spans="1:11" x14ac:dyDescent="0.2">
      <c r="A17" s="30">
        <v>44316</v>
      </c>
      <c r="B17">
        <v>30</v>
      </c>
      <c r="C17">
        <v>-310.10000000000002</v>
      </c>
      <c r="D17">
        <v>-312.5</v>
      </c>
      <c r="G17">
        <v>-315.5</v>
      </c>
      <c r="H17">
        <v>-305.10000000000002</v>
      </c>
      <c r="J17">
        <f t="shared" si="0"/>
        <v>-310.8</v>
      </c>
      <c r="K17">
        <f t="shared" si="1"/>
        <v>4.395452195167171</v>
      </c>
    </row>
    <row r="18" spans="1:11" x14ac:dyDescent="0.2">
      <c r="A18" s="30">
        <v>44319</v>
      </c>
      <c r="B18">
        <v>33</v>
      </c>
      <c r="C18">
        <v>-309.10000000000002</v>
      </c>
      <c r="D18">
        <v>-310.2</v>
      </c>
      <c r="G18">
        <v>-309.89999999999998</v>
      </c>
      <c r="H18">
        <v>-306.60000000000002</v>
      </c>
      <c r="J18">
        <f t="shared" si="0"/>
        <v>-308.95</v>
      </c>
      <c r="K18">
        <f t="shared" si="1"/>
        <v>1.6340134638368018</v>
      </c>
    </row>
    <row r="19" spans="1:11" x14ac:dyDescent="0.2">
      <c r="A19" s="30">
        <v>44321</v>
      </c>
      <c r="B19">
        <v>35</v>
      </c>
      <c r="C19">
        <v>-315.8</v>
      </c>
      <c r="D19">
        <v>-314.5</v>
      </c>
      <c r="G19">
        <v>-316.7</v>
      </c>
      <c r="H19">
        <v>-318</v>
      </c>
      <c r="J19">
        <f t="shared" si="0"/>
        <v>-316.25</v>
      </c>
      <c r="K19">
        <f t="shared" si="1"/>
        <v>1.475353065088713</v>
      </c>
    </row>
    <row r="20" spans="1:11" x14ac:dyDescent="0.2">
      <c r="A20" s="30">
        <v>44323</v>
      </c>
      <c r="B20">
        <v>37</v>
      </c>
      <c r="C20">
        <v>-313.39999999999998</v>
      </c>
      <c r="D20">
        <v>-313.39999999999998</v>
      </c>
      <c r="G20">
        <v>-321.3</v>
      </c>
      <c r="H20">
        <v>-328.9</v>
      </c>
      <c r="J20">
        <f t="shared" si="0"/>
        <v>-319.25</v>
      </c>
      <c r="K20">
        <f t="shared" si="1"/>
        <v>7.4334828086615437</v>
      </c>
    </row>
    <row r="21" spans="1:11" x14ac:dyDescent="0.2">
      <c r="A21" s="30">
        <v>44326</v>
      </c>
      <c r="B21">
        <v>40</v>
      </c>
      <c r="C21">
        <v>-310.60000000000002</v>
      </c>
      <c r="D21">
        <v>-311.3</v>
      </c>
      <c r="G21">
        <v>-305.7</v>
      </c>
      <c r="H21">
        <v>-308.89999999999998</v>
      </c>
      <c r="J21">
        <f t="shared" si="0"/>
        <v>-309.125</v>
      </c>
      <c r="K21">
        <f t="shared" si="1"/>
        <v>2.4958298553120035</v>
      </c>
    </row>
    <row r="22" spans="1:11" x14ac:dyDescent="0.2">
      <c r="A22" s="30">
        <v>44328</v>
      </c>
      <c r="B22">
        <v>42</v>
      </c>
      <c r="C22">
        <v>-320</v>
      </c>
      <c r="D22">
        <v>-317.3</v>
      </c>
      <c r="G22">
        <v>-319.89999999999998</v>
      </c>
      <c r="H22">
        <v>-318.8</v>
      </c>
      <c r="J22">
        <f t="shared" si="0"/>
        <v>-319</v>
      </c>
      <c r="K22">
        <f t="shared" si="1"/>
        <v>1.2569805089976422</v>
      </c>
    </row>
    <row r="23" spans="1:11" x14ac:dyDescent="0.2">
      <c r="A23" s="30">
        <v>44330</v>
      </c>
      <c r="B23">
        <v>44</v>
      </c>
      <c r="C23">
        <v>-325.7</v>
      </c>
      <c r="D23">
        <v>-338.5</v>
      </c>
      <c r="G23">
        <v>-333.8</v>
      </c>
      <c r="H23">
        <v>-330.6</v>
      </c>
      <c r="J23">
        <f t="shared" si="0"/>
        <v>-332.15</v>
      </c>
      <c r="K23">
        <f t="shared" si="1"/>
        <v>5.3867120460134776</v>
      </c>
    </row>
    <row r="24" spans="1:11" x14ac:dyDescent="0.2">
      <c r="A24" s="30">
        <v>44333</v>
      </c>
      <c r="B24">
        <v>47</v>
      </c>
      <c r="C24">
        <v>-333.7</v>
      </c>
      <c r="D24">
        <v>-335.7</v>
      </c>
      <c r="G24">
        <v>-330.7</v>
      </c>
      <c r="H24">
        <v>-338.6</v>
      </c>
      <c r="J24">
        <f t="shared" si="0"/>
        <v>-334.67499999999995</v>
      </c>
      <c r="K24">
        <f t="shared" si="1"/>
        <v>3.3270357176722278</v>
      </c>
    </row>
    <row r="25" spans="1:11" x14ac:dyDescent="0.2">
      <c r="A25" s="30">
        <v>44335</v>
      </c>
      <c r="B25">
        <v>49</v>
      </c>
      <c r="C25">
        <v>-337.8</v>
      </c>
      <c r="D25">
        <v>-330</v>
      </c>
      <c r="G25">
        <v>-330.8</v>
      </c>
      <c r="H25">
        <v>-340.9</v>
      </c>
      <c r="J25">
        <f t="shared" si="0"/>
        <v>-334.875</v>
      </c>
      <c r="K25">
        <f t="shared" si="1"/>
        <v>5.3300250155760587</v>
      </c>
    </row>
    <row r="26" spans="1:11" x14ac:dyDescent="0.2">
      <c r="A26" s="30">
        <v>44337</v>
      </c>
      <c r="B26">
        <v>51</v>
      </c>
      <c r="C26">
        <v>-335.8</v>
      </c>
      <c r="D26">
        <v>-330.1</v>
      </c>
      <c r="G26">
        <v>-331.9</v>
      </c>
      <c r="H26">
        <v>-334.8</v>
      </c>
      <c r="J26">
        <f t="shared" si="0"/>
        <v>-333.15000000000003</v>
      </c>
      <c r="K26">
        <f t="shared" si="1"/>
        <v>2.6210684844162322</v>
      </c>
    </row>
    <row r="27" spans="1:11" x14ac:dyDescent="0.2">
      <c r="A27" s="30">
        <v>44340</v>
      </c>
      <c r="B27">
        <v>54</v>
      </c>
      <c r="C27">
        <v>-342.3</v>
      </c>
      <c r="D27">
        <v>-326.60000000000002</v>
      </c>
      <c r="G27">
        <v>-327.39999999999998</v>
      </c>
      <c r="H27">
        <v>-326.7</v>
      </c>
      <c r="J27">
        <f t="shared" si="0"/>
        <v>-330.75</v>
      </c>
      <c r="K27">
        <f t="shared" si="1"/>
        <v>7.708220719898125</v>
      </c>
    </row>
    <row r="28" spans="1:11" x14ac:dyDescent="0.2">
      <c r="A28" s="30">
        <v>44342</v>
      </c>
      <c r="B28">
        <v>56</v>
      </c>
      <c r="C28">
        <v>-342.3</v>
      </c>
      <c r="D28">
        <v>-337.6</v>
      </c>
      <c r="G28">
        <v>-335.6</v>
      </c>
      <c r="H28">
        <v>-332.1</v>
      </c>
      <c r="J28">
        <f t="shared" si="0"/>
        <v>-336.90000000000003</v>
      </c>
      <c r="K28">
        <f t="shared" si="1"/>
        <v>4.2575423270552024</v>
      </c>
    </row>
    <row r="29" spans="1:11" x14ac:dyDescent="0.2">
      <c r="A29" s="30">
        <v>44344</v>
      </c>
      <c r="B29">
        <v>58</v>
      </c>
      <c r="C29">
        <v>-328.9</v>
      </c>
      <c r="D29">
        <v>-329.4</v>
      </c>
      <c r="G29">
        <v>-325</v>
      </c>
      <c r="H29">
        <v>-320.39999999999998</v>
      </c>
      <c r="J29">
        <f t="shared" si="0"/>
        <v>-325.92499999999995</v>
      </c>
      <c r="K29">
        <f t="shared" si="1"/>
        <v>4.1756237059070971</v>
      </c>
    </row>
    <row r="30" spans="1:11" x14ac:dyDescent="0.2">
      <c r="A30" s="30">
        <v>44347</v>
      </c>
      <c r="B30">
        <v>61</v>
      </c>
      <c r="C30">
        <v>-325.8</v>
      </c>
      <c r="D30">
        <v>-328.9</v>
      </c>
      <c r="G30">
        <v>-330.8</v>
      </c>
      <c r="H30">
        <v>-329.9</v>
      </c>
      <c r="J30">
        <f t="shared" si="0"/>
        <v>-328.85</v>
      </c>
      <c r="K30">
        <f t="shared" si="1"/>
        <v>2.1763884457207179</v>
      </c>
    </row>
    <row r="31" spans="1:11" x14ac:dyDescent="0.2">
      <c r="A31" s="30">
        <v>44349</v>
      </c>
      <c r="B31">
        <v>63</v>
      </c>
      <c r="C31">
        <v>-322.60000000000002</v>
      </c>
      <c r="D31">
        <v>-324.3</v>
      </c>
      <c r="G31">
        <v>-325.8</v>
      </c>
      <c r="H31">
        <v>-326.8</v>
      </c>
      <c r="J31">
        <f t="shared" si="0"/>
        <v>-324.875</v>
      </c>
      <c r="K31">
        <f t="shared" si="1"/>
        <v>1.8318933738985237</v>
      </c>
    </row>
    <row r="32" spans="1:11" x14ac:dyDescent="0.2">
      <c r="A32" s="30">
        <v>44351</v>
      </c>
      <c r="B32">
        <v>65</v>
      </c>
      <c r="C32">
        <v>-332.3</v>
      </c>
      <c r="D32">
        <v>-330.6</v>
      </c>
      <c r="G32">
        <v>-332.3</v>
      </c>
      <c r="H32">
        <v>-335.8</v>
      </c>
      <c r="J32">
        <f t="shared" si="0"/>
        <v>-332.75</v>
      </c>
      <c r="K32">
        <f t="shared" si="1"/>
        <v>2.1855586623713972</v>
      </c>
    </row>
    <row r="33" spans="1:11" x14ac:dyDescent="0.2">
      <c r="A33" s="30">
        <v>44354</v>
      </c>
      <c r="B33">
        <v>68</v>
      </c>
      <c r="C33">
        <v>-339.6</v>
      </c>
      <c r="D33">
        <v>-341.2</v>
      </c>
      <c r="G33">
        <v>-337.9</v>
      </c>
      <c r="H33">
        <v>-338.6</v>
      </c>
      <c r="J33">
        <f t="shared" si="0"/>
        <v>-339.32499999999999</v>
      </c>
      <c r="K33">
        <f t="shared" si="1"/>
        <v>1.4314910641239318</v>
      </c>
    </row>
    <row r="34" spans="1:11" x14ac:dyDescent="0.2">
      <c r="A34" s="30">
        <v>44356</v>
      </c>
      <c r="B34">
        <v>70</v>
      </c>
      <c r="C34">
        <v>-341.5</v>
      </c>
      <c r="D34">
        <v>-347.8</v>
      </c>
      <c r="G34">
        <v>-315.5</v>
      </c>
      <c r="H34">
        <v>-322.60000000000002</v>
      </c>
      <c r="J34">
        <f t="shared" si="0"/>
        <v>-331.85</v>
      </c>
      <c r="K34">
        <f t="shared" si="1"/>
        <v>15.279725128417722</v>
      </c>
    </row>
    <row r="35" spans="1:11" x14ac:dyDescent="0.2">
      <c r="A35" s="30">
        <v>44358</v>
      </c>
      <c r="B35">
        <v>72</v>
      </c>
      <c r="C35">
        <v>-332.8</v>
      </c>
      <c r="D35">
        <v>-338.7</v>
      </c>
      <c r="G35">
        <v>-334.5</v>
      </c>
      <c r="H35">
        <v>-340.8</v>
      </c>
      <c r="J35">
        <f t="shared" si="0"/>
        <v>-336.7</v>
      </c>
      <c r="K35">
        <f t="shared" si="1"/>
        <v>3.690528417449185</v>
      </c>
    </row>
    <row r="36" spans="1:11" x14ac:dyDescent="0.2">
      <c r="A36" s="30">
        <v>44361</v>
      </c>
      <c r="B36">
        <v>75</v>
      </c>
      <c r="C36">
        <v>-338.9</v>
      </c>
      <c r="D36">
        <v>-327.2</v>
      </c>
      <c r="G36">
        <v>-321.2</v>
      </c>
      <c r="H36">
        <v>-323.8</v>
      </c>
      <c r="J36">
        <f t="shared" si="0"/>
        <v>-327.77499999999998</v>
      </c>
      <c r="K36">
        <f t="shared" si="1"/>
        <v>7.8129699858632415</v>
      </c>
    </row>
    <row r="37" spans="1:11" x14ac:dyDescent="0.2">
      <c r="A37" s="30">
        <v>44363</v>
      </c>
      <c r="B37">
        <v>77</v>
      </c>
      <c r="C37">
        <v>-331.8</v>
      </c>
      <c r="D37">
        <v>-331</v>
      </c>
      <c r="G37">
        <v>-331.1</v>
      </c>
      <c r="H37">
        <v>-330.4</v>
      </c>
      <c r="J37">
        <f t="shared" si="0"/>
        <v>-331.07499999999999</v>
      </c>
      <c r="K37">
        <f t="shared" si="1"/>
        <v>0.57373048260196424</v>
      </c>
    </row>
    <row r="38" spans="1:11" x14ac:dyDescent="0.2">
      <c r="A38" s="30">
        <v>44365</v>
      </c>
      <c r="B38">
        <v>79</v>
      </c>
      <c r="C38">
        <v>-337.6</v>
      </c>
      <c r="D38">
        <v>-326.89999999999998</v>
      </c>
      <c r="G38">
        <v>-324.8</v>
      </c>
      <c r="H38">
        <v>-322.5</v>
      </c>
      <c r="J38">
        <f t="shared" si="0"/>
        <v>-327.95</v>
      </c>
      <c r="K38">
        <f t="shared" si="1"/>
        <v>6.6795708444979311</v>
      </c>
    </row>
    <row r="39" spans="1:11" x14ac:dyDescent="0.2">
      <c r="A39" s="30">
        <v>44368</v>
      </c>
      <c r="B39">
        <v>82</v>
      </c>
      <c r="C39">
        <v>-321</v>
      </c>
      <c r="D39">
        <v>-326.89999999999998</v>
      </c>
      <c r="G39">
        <v>-321.10000000000002</v>
      </c>
      <c r="H39">
        <v>-322.2</v>
      </c>
      <c r="J39">
        <f t="shared" si="0"/>
        <v>-322.8</v>
      </c>
      <c r="K39">
        <f t="shared" si="1"/>
        <v>2.7868739954771158</v>
      </c>
    </row>
    <row r="40" spans="1:11" x14ac:dyDescent="0.2">
      <c r="A40" s="30">
        <v>44370</v>
      </c>
      <c r="B40">
        <v>84</v>
      </c>
      <c r="C40">
        <v>-322.5</v>
      </c>
      <c r="D40">
        <v>-321.39999999999998</v>
      </c>
      <c r="G40">
        <v>-320.2</v>
      </c>
      <c r="H40">
        <v>-322.8</v>
      </c>
      <c r="J40">
        <f t="shared" si="0"/>
        <v>-321.72499999999997</v>
      </c>
      <c r="K40">
        <f t="shared" si="1"/>
        <v>1.1814539065631626</v>
      </c>
    </row>
    <row r="41" spans="1:11" x14ac:dyDescent="0.2">
      <c r="A41" s="30">
        <v>44372</v>
      </c>
      <c r="B41">
        <v>86</v>
      </c>
      <c r="C41">
        <v>-325.60000000000002</v>
      </c>
      <c r="D41">
        <v>-324.2</v>
      </c>
      <c r="G41">
        <v>-325.39999999999998</v>
      </c>
      <c r="H41">
        <v>-326.3</v>
      </c>
      <c r="J41">
        <f t="shared" si="0"/>
        <v>-325.375</v>
      </c>
      <c r="K41">
        <f t="shared" si="1"/>
        <v>0.8732124598286598</v>
      </c>
    </row>
    <row r="42" spans="1:11" x14ac:dyDescent="0.2">
      <c r="A42" s="30">
        <v>44375</v>
      </c>
      <c r="B42">
        <v>89</v>
      </c>
      <c r="C42">
        <v>-326.5</v>
      </c>
      <c r="D42">
        <v>-329.6</v>
      </c>
      <c r="G42">
        <v>-324.89999999999998</v>
      </c>
      <c r="H42">
        <v>-323.3</v>
      </c>
      <c r="J42">
        <f t="shared" si="0"/>
        <v>-326.07499999999999</v>
      </c>
      <c r="K42">
        <f t="shared" si="1"/>
        <v>2.6887109674836225</v>
      </c>
    </row>
    <row r="43" spans="1:11" x14ac:dyDescent="0.2">
      <c r="A43" s="30">
        <v>44377</v>
      </c>
      <c r="B43">
        <v>91</v>
      </c>
      <c r="C43">
        <v>-320.10000000000002</v>
      </c>
      <c r="D43">
        <v>-329.5</v>
      </c>
      <c r="G43">
        <v>-327.5</v>
      </c>
      <c r="H43">
        <v>-328.8</v>
      </c>
      <c r="J43">
        <f t="shared" si="0"/>
        <v>-326.47500000000002</v>
      </c>
      <c r="K43">
        <f t="shared" si="1"/>
        <v>4.3300307928081283</v>
      </c>
    </row>
    <row r="44" spans="1:11" x14ac:dyDescent="0.2">
      <c r="A44" s="30">
        <v>44379</v>
      </c>
      <c r="B44">
        <v>93</v>
      </c>
      <c r="C44">
        <v>-332.5</v>
      </c>
      <c r="D44">
        <v>-331.1</v>
      </c>
      <c r="G44">
        <v>-333.5</v>
      </c>
      <c r="H44">
        <v>-335.6</v>
      </c>
      <c r="J44">
        <f t="shared" si="0"/>
        <v>-333.17500000000001</v>
      </c>
      <c r="K44">
        <f t="shared" si="1"/>
        <v>1.8927493230747714</v>
      </c>
    </row>
    <row r="45" spans="1:11" x14ac:dyDescent="0.2">
      <c r="A45" s="30">
        <v>44382</v>
      </c>
      <c r="B45">
        <v>96</v>
      </c>
      <c r="C45">
        <v>-321.2</v>
      </c>
      <c r="D45">
        <v>-322.2</v>
      </c>
      <c r="G45">
        <v>-326.7</v>
      </c>
      <c r="H45">
        <v>-317.2</v>
      </c>
      <c r="J45">
        <f t="shared" si="0"/>
        <v>-321.82499999999999</v>
      </c>
      <c r="K45">
        <f t="shared" si="1"/>
        <v>3.9024564913226985</v>
      </c>
    </row>
    <row r="46" spans="1:11" x14ac:dyDescent="0.2">
      <c r="A46" s="30">
        <v>44384</v>
      </c>
      <c r="B46">
        <v>98</v>
      </c>
      <c r="C46">
        <v>-334.1</v>
      </c>
      <c r="D46">
        <v>-335.9</v>
      </c>
      <c r="G46">
        <v>-332.5</v>
      </c>
      <c r="H46">
        <v>-336.6</v>
      </c>
      <c r="J46">
        <f t="shared" si="0"/>
        <v>-334.77499999999998</v>
      </c>
      <c r="K46">
        <f t="shared" si="1"/>
        <v>1.8463928798245153</v>
      </c>
    </row>
    <row r="47" spans="1:11" x14ac:dyDescent="0.2">
      <c r="A47" s="30">
        <v>44417</v>
      </c>
      <c r="B47">
        <v>100</v>
      </c>
      <c r="C47">
        <v>-343.7</v>
      </c>
      <c r="D47">
        <v>-323.7</v>
      </c>
      <c r="G47">
        <v>-326.7</v>
      </c>
      <c r="H47">
        <v>-337.6</v>
      </c>
      <c r="J47">
        <f t="shared" si="0"/>
        <v>-332.92499999999995</v>
      </c>
      <c r="K47">
        <f t="shared" si="1"/>
        <v>9.3417967579404539</v>
      </c>
    </row>
    <row r="48" spans="1:11" x14ac:dyDescent="0.2">
      <c r="A48" s="30">
        <v>44419</v>
      </c>
      <c r="B48">
        <v>102</v>
      </c>
      <c r="C48">
        <v>-335.7</v>
      </c>
      <c r="D48">
        <v>-335.6</v>
      </c>
      <c r="G48">
        <v>-331.1</v>
      </c>
      <c r="H48">
        <v>-331.9</v>
      </c>
      <c r="J48">
        <f t="shared" si="0"/>
        <v>-333.57499999999999</v>
      </c>
      <c r="K48">
        <f t="shared" si="1"/>
        <v>2.4185050478894334</v>
      </c>
    </row>
    <row r="49" spans="1:11" x14ac:dyDescent="0.2">
      <c r="A49" s="30">
        <v>44421</v>
      </c>
      <c r="B49">
        <v>104</v>
      </c>
      <c r="C49">
        <v>-319.8</v>
      </c>
      <c r="D49">
        <v>-318.3</v>
      </c>
      <c r="G49">
        <v>-322.60000000000002</v>
      </c>
      <c r="H49">
        <v>-320.2</v>
      </c>
      <c r="J49">
        <f t="shared" si="0"/>
        <v>-320.22500000000002</v>
      </c>
      <c r="K49">
        <f t="shared" si="1"/>
        <v>1.7820867917509942</v>
      </c>
    </row>
    <row r="50" spans="1:11" x14ac:dyDescent="0.2">
      <c r="A50" s="30">
        <v>44424</v>
      </c>
      <c r="B50">
        <v>107</v>
      </c>
      <c r="C50">
        <v>-335.5</v>
      </c>
      <c r="D50">
        <v>-330.6</v>
      </c>
      <c r="G50">
        <v>-332.5</v>
      </c>
      <c r="H50">
        <v>-344.4</v>
      </c>
      <c r="J50">
        <f t="shared" si="0"/>
        <v>-335.75</v>
      </c>
      <c r="K50">
        <f t="shared" si="1"/>
        <v>6.1092825547140253</v>
      </c>
    </row>
    <row r="51" spans="1:11" x14ac:dyDescent="0.2">
      <c r="A51" s="30">
        <v>44426</v>
      </c>
      <c r="B51">
        <v>109</v>
      </c>
      <c r="C51">
        <v>-323.3</v>
      </c>
      <c r="D51">
        <v>-327.60000000000002</v>
      </c>
      <c r="G51">
        <v>-331.8</v>
      </c>
      <c r="H51">
        <v>-331</v>
      </c>
      <c r="J51">
        <f t="shared" si="0"/>
        <v>-328.42500000000001</v>
      </c>
      <c r="K51">
        <f t="shared" si="1"/>
        <v>3.8715845162758153</v>
      </c>
    </row>
    <row r="52" spans="1:11" x14ac:dyDescent="0.2">
      <c r="A52" s="30">
        <v>44428</v>
      </c>
      <c r="B52">
        <v>111</v>
      </c>
      <c r="C52">
        <v>-333.2</v>
      </c>
      <c r="D52">
        <v>-337</v>
      </c>
      <c r="G52">
        <v>-334.3</v>
      </c>
      <c r="H52">
        <v>-333.8</v>
      </c>
      <c r="J52">
        <f t="shared" si="0"/>
        <v>-334.57499999999999</v>
      </c>
      <c r="K52">
        <f t="shared" si="1"/>
        <v>1.6780444968275827</v>
      </c>
    </row>
    <row r="53" spans="1:11" x14ac:dyDescent="0.2">
      <c r="A53" s="30">
        <v>44431</v>
      </c>
      <c r="B53">
        <v>115</v>
      </c>
      <c r="C53">
        <v>-332</v>
      </c>
      <c r="D53">
        <v>-323.60000000000002</v>
      </c>
      <c r="G53">
        <v>-348.5</v>
      </c>
      <c r="H53">
        <v>-331.2</v>
      </c>
      <c r="J53">
        <f t="shared" si="0"/>
        <v>-333.82499999999999</v>
      </c>
      <c r="K53">
        <f t="shared" si="1"/>
        <v>10.490114394037839</v>
      </c>
    </row>
    <row r="54" spans="1:11" x14ac:dyDescent="0.2">
      <c r="A54" s="30">
        <v>44433</v>
      </c>
      <c r="B54">
        <v>117</v>
      </c>
      <c r="C54">
        <v>-328.5</v>
      </c>
      <c r="D54">
        <v>-320.2</v>
      </c>
      <c r="G54">
        <v>-327</v>
      </c>
      <c r="H54">
        <v>-325.8</v>
      </c>
      <c r="J54">
        <f t="shared" si="0"/>
        <v>-325.375</v>
      </c>
      <c r="K54">
        <f t="shared" si="1"/>
        <v>3.6224991373359967</v>
      </c>
    </row>
    <row r="55" spans="1:11" x14ac:dyDescent="0.2">
      <c r="A55" s="30">
        <v>44435</v>
      </c>
      <c r="B55">
        <v>119</v>
      </c>
      <c r="C55">
        <v>-331</v>
      </c>
      <c r="D55">
        <v>-325</v>
      </c>
      <c r="G55">
        <v>-334.4</v>
      </c>
      <c r="H55">
        <v>-337.7</v>
      </c>
      <c r="J55">
        <f t="shared" si="0"/>
        <v>-332.02499999999998</v>
      </c>
      <c r="K55">
        <f t="shared" si="1"/>
        <v>5.4236365414114225</v>
      </c>
    </row>
    <row r="56" spans="1:11" x14ac:dyDescent="0.2">
      <c r="A56" s="30">
        <v>44438</v>
      </c>
      <c r="B56">
        <v>122</v>
      </c>
      <c r="C56">
        <v>-334.5</v>
      </c>
      <c r="D56">
        <v>-339.3</v>
      </c>
      <c r="G56">
        <v>-334.6</v>
      </c>
      <c r="H56">
        <v>-336.2</v>
      </c>
      <c r="J56">
        <f t="shared" si="0"/>
        <v>-336.15</v>
      </c>
      <c r="K56">
        <f t="shared" si="1"/>
        <v>2.2397916569776455</v>
      </c>
    </row>
    <row r="57" spans="1:11" x14ac:dyDescent="0.2">
      <c r="A57" s="30">
        <v>44440</v>
      </c>
      <c r="B57">
        <v>124</v>
      </c>
      <c r="C57">
        <v>-335.6</v>
      </c>
      <c r="D57">
        <v>-338.5</v>
      </c>
      <c r="G57">
        <v>-335.6</v>
      </c>
      <c r="H57">
        <v>-335.9</v>
      </c>
      <c r="J57">
        <f t="shared" si="0"/>
        <v>-336.4</v>
      </c>
      <c r="K57">
        <f t="shared" si="1"/>
        <v>1.4071247279470229</v>
      </c>
    </row>
    <row r="58" spans="1:11" x14ac:dyDescent="0.2">
      <c r="A58" s="30">
        <v>44442</v>
      </c>
      <c r="B58">
        <v>126</v>
      </c>
      <c r="C58">
        <v>-343.9</v>
      </c>
      <c r="D58">
        <v>-346.7</v>
      </c>
      <c r="G58">
        <v>-342.3</v>
      </c>
      <c r="H58">
        <v>-346.9</v>
      </c>
      <c r="J58">
        <f t="shared" si="0"/>
        <v>-344.94999999999993</v>
      </c>
      <c r="K58">
        <f t="shared" si="1"/>
        <v>2.2353224972398547</v>
      </c>
    </row>
    <row r="59" spans="1:11" x14ac:dyDescent="0.2">
      <c r="A59" s="30">
        <v>44445</v>
      </c>
      <c r="B59">
        <v>129</v>
      </c>
      <c r="C59">
        <v>-353.2</v>
      </c>
      <c r="D59">
        <v>-349.2</v>
      </c>
      <c r="G59">
        <v>-344</v>
      </c>
      <c r="H59">
        <v>-342.1</v>
      </c>
      <c r="J59">
        <f t="shared" si="0"/>
        <v>-347.125</v>
      </c>
      <c r="K59">
        <f t="shared" si="1"/>
        <v>5.0407506054819384</v>
      </c>
    </row>
    <row r="60" spans="1:11" x14ac:dyDescent="0.2">
      <c r="A60" s="30">
        <v>44447</v>
      </c>
      <c r="B60">
        <v>131</v>
      </c>
      <c r="C60">
        <v>-323.3</v>
      </c>
      <c r="D60">
        <v>-314.3</v>
      </c>
      <c r="G60">
        <v>-338.4</v>
      </c>
      <c r="H60">
        <v>-352.5</v>
      </c>
      <c r="J60">
        <f t="shared" si="0"/>
        <v>-332.125</v>
      </c>
      <c r="K60">
        <f t="shared" si="1"/>
        <v>16.833770621382872</v>
      </c>
    </row>
    <row r="61" spans="1:11" x14ac:dyDescent="0.2">
      <c r="A61" s="30">
        <v>44449</v>
      </c>
      <c r="B61">
        <v>133</v>
      </c>
      <c r="C61">
        <v>-354.3</v>
      </c>
      <c r="D61">
        <v>-351.3</v>
      </c>
      <c r="G61">
        <v>-333.6</v>
      </c>
      <c r="H61">
        <v>-344.8</v>
      </c>
      <c r="J61">
        <f t="shared" si="0"/>
        <v>-346</v>
      </c>
      <c r="K61">
        <f t="shared" si="1"/>
        <v>9.1684240739616705</v>
      </c>
    </row>
    <row r="62" spans="1:11" x14ac:dyDescent="0.2">
      <c r="A62" s="30">
        <v>44452</v>
      </c>
      <c r="B62">
        <v>136</v>
      </c>
      <c r="C62">
        <v>-310.8</v>
      </c>
      <c r="D62">
        <v>-305.89999999999998</v>
      </c>
      <c r="G62">
        <v>-298.39999999999998</v>
      </c>
      <c r="H62">
        <v>-299.89999999999998</v>
      </c>
      <c r="J62">
        <f t="shared" si="0"/>
        <v>-303.75</v>
      </c>
      <c r="K62">
        <f t="shared" si="1"/>
        <v>5.7087651904768482</v>
      </c>
    </row>
    <row r="63" spans="1:11" x14ac:dyDescent="0.2">
      <c r="A63" s="30">
        <v>44454</v>
      </c>
      <c r="B63">
        <v>138</v>
      </c>
      <c r="C63">
        <v>-337.3</v>
      </c>
      <c r="D63">
        <v>-339.8</v>
      </c>
      <c r="G63">
        <v>-333.5</v>
      </c>
      <c r="H63">
        <v>-338.4</v>
      </c>
      <c r="J63">
        <f t="shared" si="0"/>
        <v>-337.25</v>
      </c>
      <c r="K63">
        <f t="shared" si="1"/>
        <v>2.7012342857787566</v>
      </c>
    </row>
    <row r="64" spans="1:11" x14ac:dyDescent="0.2">
      <c r="A64" s="30">
        <v>44456</v>
      </c>
      <c r="B64">
        <v>140</v>
      </c>
      <c r="C64">
        <v>-341.7</v>
      </c>
      <c r="D64">
        <v>-345.9</v>
      </c>
      <c r="G64">
        <v>-348.5</v>
      </c>
      <c r="H64">
        <v>-343.3</v>
      </c>
      <c r="J64">
        <f t="shared" si="0"/>
        <v>-344.84999999999997</v>
      </c>
      <c r="K64">
        <f t="shared" si="1"/>
        <v>2.9860788111948189</v>
      </c>
    </row>
    <row r="65" spans="1:11" x14ac:dyDescent="0.2">
      <c r="A65" s="30">
        <v>44459</v>
      </c>
      <c r="B65">
        <v>143</v>
      </c>
      <c r="C65">
        <v>-328</v>
      </c>
      <c r="D65">
        <v>-327.7</v>
      </c>
      <c r="G65">
        <v>-330</v>
      </c>
      <c r="H65">
        <v>-337</v>
      </c>
      <c r="J65">
        <f t="shared" si="0"/>
        <v>-330.67500000000001</v>
      </c>
      <c r="K65">
        <f t="shared" si="1"/>
        <v>4.3384905209070155</v>
      </c>
    </row>
    <row r="66" spans="1:11" x14ac:dyDescent="0.2">
      <c r="A66" s="30">
        <v>44461</v>
      </c>
      <c r="B66">
        <v>145</v>
      </c>
      <c r="C66">
        <v>-348.9</v>
      </c>
      <c r="D66">
        <v>-343.1</v>
      </c>
      <c r="G66">
        <v>-333.6</v>
      </c>
      <c r="H66">
        <v>-323.10000000000002</v>
      </c>
      <c r="J66">
        <f t="shared" si="0"/>
        <v>-337.17499999999995</v>
      </c>
      <c r="K66">
        <f t="shared" si="1"/>
        <v>11.305861311726746</v>
      </c>
    </row>
    <row r="67" spans="1:11" x14ac:dyDescent="0.2">
      <c r="A67" s="30">
        <v>44463</v>
      </c>
      <c r="B67">
        <v>147</v>
      </c>
      <c r="C67">
        <v>-308.2</v>
      </c>
      <c r="D67">
        <v>-296.2</v>
      </c>
      <c r="G67">
        <v>-330.3</v>
      </c>
      <c r="H67">
        <v>-321</v>
      </c>
      <c r="J67">
        <f t="shared" si="0"/>
        <v>-313.92500000000001</v>
      </c>
      <c r="K67">
        <f t="shared" si="1"/>
        <v>14.890125363251098</v>
      </c>
    </row>
    <row r="68" spans="1:11" x14ac:dyDescent="0.2">
      <c r="A68" s="30">
        <v>44466</v>
      </c>
      <c r="B68">
        <v>150</v>
      </c>
      <c r="C68">
        <v>-324.8</v>
      </c>
      <c r="D68">
        <v>-318</v>
      </c>
      <c r="G68">
        <v>-325.60000000000002</v>
      </c>
      <c r="H68">
        <v>-329.8</v>
      </c>
      <c r="J68">
        <f t="shared" si="0"/>
        <v>-324.55</v>
      </c>
      <c r="K68">
        <f t="shared" si="1"/>
        <v>4.8863756166167498</v>
      </c>
    </row>
    <row r="69" spans="1:11" x14ac:dyDescent="0.2">
      <c r="A69" s="30">
        <v>44468</v>
      </c>
      <c r="B69">
        <v>152</v>
      </c>
      <c r="C69">
        <v>-320.8</v>
      </c>
      <c r="D69">
        <v>-318.8</v>
      </c>
      <c r="G69">
        <v>-326.10000000000002</v>
      </c>
      <c r="H69">
        <v>-316.8</v>
      </c>
      <c r="J69">
        <f t="shared" ref="J69:J71" si="2">AVERAGE(C69,D69,G69,H69)</f>
        <v>-320.625</v>
      </c>
      <c r="K69">
        <f t="shared" ref="K69:K71" si="3">_xlfn.STDEV.S(C69,D69,G69,H69)</f>
        <v>3.9986456040347851</v>
      </c>
    </row>
    <row r="70" spans="1:11" x14ac:dyDescent="0.2">
      <c r="A70" s="30">
        <v>44470</v>
      </c>
      <c r="B70">
        <v>154</v>
      </c>
      <c r="C70">
        <v>-342.9</v>
      </c>
      <c r="D70">
        <v>-351.6</v>
      </c>
      <c r="G70">
        <v>-339.6</v>
      </c>
      <c r="H70">
        <v>-333.5</v>
      </c>
      <c r="J70">
        <f t="shared" si="2"/>
        <v>-341.9</v>
      </c>
      <c r="K70">
        <f t="shared" si="3"/>
        <v>7.5485097867062541</v>
      </c>
    </row>
    <row r="71" spans="1:11" x14ac:dyDescent="0.2">
      <c r="A71" s="30">
        <v>44473</v>
      </c>
      <c r="B71">
        <v>157</v>
      </c>
      <c r="C71">
        <v>-254.4</v>
      </c>
      <c r="D71">
        <v>-252.7</v>
      </c>
      <c r="G71">
        <v>-250.4</v>
      </c>
      <c r="H71">
        <v>-254.3</v>
      </c>
      <c r="J71">
        <f t="shared" si="2"/>
        <v>-252.95</v>
      </c>
      <c r="K71">
        <f t="shared" si="3"/>
        <v>1.8699376103674354</v>
      </c>
    </row>
    <row r="72" spans="1:11" x14ac:dyDescent="0.2">
      <c r="A72" s="30">
        <v>44475</v>
      </c>
    </row>
    <row r="73" spans="1:11" x14ac:dyDescent="0.2">
      <c r="A73" s="30">
        <v>44477</v>
      </c>
    </row>
    <row r="74" spans="1:11" x14ac:dyDescent="0.2">
      <c r="A74" s="30">
        <v>44480</v>
      </c>
    </row>
    <row r="75" spans="1:11" x14ac:dyDescent="0.2">
      <c r="A75" s="30">
        <v>44475</v>
      </c>
    </row>
  </sheetData>
  <mergeCells count="3">
    <mergeCell ref="D1:E1"/>
    <mergeCell ref="D2:E2"/>
    <mergeCell ref="H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5"/>
  <sheetViews>
    <sheetView topLeftCell="J44" zoomScaleNormal="100" workbookViewId="0">
      <selection activeCell="F56" sqref="F56"/>
    </sheetView>
  </sheetViews>
  <sheetFormatPr baseColWidth="10" defaultRowHeight="15" x14ac:dyDescent="0.2"/>
  <sheetData>
    <row r="1" spans="1:11" x14ac:dyDescent="0.2">
      <c r="B1" s="57" t="s">
        <v>65</v>
      </c>
      <c r="C1" s="57"/>
      <c r="D1" s="57"/>
    </row>
    <row r="2" spans="1:11" x14ac:dyDescent="0.2">
      <c r="B2" s="27"/>
      <c r="C2" s="27"/>
      <c r="D2" s="27"/>
    </row>
    <row r="3" spans="1:11" x14ac:dyDescent="0.2">
      <c r="C3" s="57" t="s">
        <v>64</v>
      </c>
      <c r="D3" s="57"/>
      <c r="F3" s="27"/>
      <c r="G3" s="57" t="s">
        <v>56</v>
      </c>
      <c r="H3" s="57"/>
      <c r="I3" s="57"/>
    </row>
    <row r="4" spans="1:11" x14ac:dyDescent="0.2">
      <c r="B4" s="25" t="s">
        <v>57</v>
      </c>
      <c r="C4" t="s">
        <v>63</v>
      </c>
      <c r="D4" t="s">
        <v>61</v>
      </c>
      <c r="F4" s="25"/>
      <c r="G4" t="s">
        <v>62</v>
      </c>
      <c r="H4" t="s">
        <v>61</v>
      </c>
      <c r="I4" t="s">
        <v>60</v>
      </c>
      <c r="J4" t="s">
        <v>206</v>
      </c>
    </row>
    <row r="5" spans="1:11" x14ac:dyDescent="0.2">
      <c r="A5" s="30">
        <v>44286</v>
      </c>
      <c r="B5">
        <v>0</v>
      </c>
      <c r="C5">
        <v>4.67</v>
      </c>
      <c r="D5">
        <v>4.41</v>
      </c>
      <c r="G5">
        <v>3.97</v>
      </c>
      <c r="H5">
        <v>3.48</v>
      </c>
      <c r="I5">
        <f>AVERAGE(C5,D5,G5,H5)</f>
        <v>4.1325000000000003</v>
      </c>
      <c r="J5">
        <f>_xlfn.STDEV.S(C5,D5,G5,H5)</f>
        <v>0.52219887654672759</v>
      </c>
    </row>
    <row r="6" spans="1:11" x14ac:dyDescent="0.2">
      <c r="A6" s="30">
        <v>44288</v>
      </c>
      <c r="B6">
        <v>2</v>
      </c>
      <c r="C6">
        <v>5.3</v>
      </c>
      <c r="D6">
        <v>5.91</v>
      </c>
      <c r="G6">
        <v>5.9</v>
      </c>
      <c r="H6">
        <v>5.94</v>
      </c>
      <c r="I6">
        <f t="shared" ref="I6:I69" si="0">AVERAGE(C6,D6,G6,H6)</f>
        <v>5.7625000000000002</v>
      </c>
      <c r="J6">
        <f t="shared" ref="J6:J69" si="1">_xlfn.STDEV.S(C6,D6,G6,H6)</f>
        <v>0.30880144645602536</v>
      </c>
    </row>
    <row r="7" spans="1:11" x14ac:dyDescent="0.2">
      <c r="A7" s="30">
        <v>44291</v>
      </c>
      <c r="B7">
        <v>5</v>
      </c>
      <c r="C7">
        <v>7.64</v>
      </c>
      <c r="D7">
        <v>7.65</v>
      </c>
      <c r="G7">
        <v>8.67</v>
      </c>
      <c r="H7">
        <v>8.08</v>
      </c>
      <c r="I7">
        <f t="shared" si="0"/>
        <v>8.01</v>
      </c>
      <c r="J7">
        <f t="shared" si="1"/>
        <v>0.48545511292669136</v>
      </c>
    </row>
    <row r="8" spans="1:11" x14ac:dyDescent="0.2">
      <c r="A8" s="30">
        <v>44293</v>
      </c>
      <c r="B8">
        <v>7</v>
      </c>
      <c r="C8">
        <v>8.1199999999999992</v>
      </c>
      <c r="D8">
        <v>8.59</v>
      </c>
      <c r="G8">
        <v>8.2799999999999994</v>
      </c>
      <c r="H8">
        <v>8.49</v>
      </c>
      <c r="I8">
        <f t="shared" si="0"/>
        <v>8.370000000000001</v>
      </c>
      <c r="J8">
        <f t="shared" si="1"/>
        <v>0.21087120871912984</v>
      </c>
    </row>
    <row r="9" spans="1:11" x14ac:dyDescent="0.2">
      <c r="A9" s="30">
        <v>44295</v>
      </c>
      <c r="B9">
        <v>9</v>
      </c>
      <c r="C9">
        <v>8.8000000000000007</v>
      </c>
      <c r="D9">
        <v>8.59</v>
      </c>
      <c r="G9">
        <v>8.9</v>
      </c>
      <c r="H9">
        <v>8.02</v>
      </c>
      <c r="I9">
        <f t="shared" si="0"/>
        <v>8.5775000000000006</v>
      </c>
      <c r="J9">
        <f t="shared" si="1"/>
        <v>0.39347808071098489</v>
      </c>
    </row>
    <row r="10" spans="1:11" x14ac:dyDescent="0.2">
      <c r="A10" s="30">
        <v>44298</v>
      </c>
      <c r="B10">
        <v>12</v>
      </c>
      <c r="C10">
        <v>8.98</v>
      </c>
      <c r="D10">
        <v>8.67</v>
      </c>
      <c r="G10">
        <v>8.74</v>
      </c>
      <c r="H10">
        <v>8.52</v>
      </c>
      <c r="I10">
        <f t="shared" si="0"/>
        <v>8.7274999999999991</v>
      </c>
      <c r="J10">
        <f t="shared" si="1"/>
        <v>0.19172462891692729</v>
      </c>
    </row>
    <row r="11" spans="1:11" x14ac:dyDescent="0.2">
      <c r="A11" s="30">
        <v>44300</v>
      </c>
      <c r="B11">
        <v>14</v>
      </c>
      <c r="C11">
        <v>8.67</v>
      </c>
      <c r="D11">
        <v>8.7799999999999994</v>
      </c>
      <c r="G11">
        <v>8.86</v>
      </c>
      <c r="H11">
        <v>8.9700000000000006</v>
      </c>
      <c r="I11">
        <f t="shared" si="0"/>
        <v>8.82</v>
      </c>
      <c r="J11">
        <f t="shared" si="1"/>
        <v>0.12675435561221057</v>
      </c>
    </row>
    <row r="12" spans="1:11" x14ac:dyDescent="0.2">
      <c r="A12" s="30">
        <v>44302</v>
      </c>
      <c r="B12">
        <v>16</v>
      </c>
      <c r="C12">
        <v>8.84</v>
      </c>
      <c r="D12">
        <v>8.6199999999999992</v>
      </c>
      <c r="G12">
        <v>8.43</v>
      </c>
      <c r="H12">
        <v>8.39</v>
      </c>
      <c r="I12">
        <f t="shared" si="0"/>
        <v>8.57</v>
      </c>
      <c r="J12">
        <f t="shared" si="1"/>
        <v>0.20607442021431621</v>
      </c>
    </row>
    <row r="13" spans="1:11" x14ac:dyDescent="0.2">
      <c r="A13" s="30">
        <v>44305</v>
      </c>
      <c r="B13">
        <v>19</v>
      </c>
      <c r="C13">
        <v>8.44</v>
      </c>
      <c r="D13">
        <v>8.9499999999999993</v>
      </c>
      <c r="G13">
        <v>8.49</v>
      </c>
      <c r="H13">
        <v>8.6999999999999993</v>
      </c>
      <c r="I13">
        <f t="shared" si="0"/>
        <v>8.6449999999999996</v>
      </c>
      <c r="J13">
        <f t="shared" si="1"/>
        <v>0.23245071162148162</v>
      </c>
    </row>
    <row r="14" spans="1:11" x14ac:dyDescent="0.2">
      <c r="A14" s="30">
        <v>44307</v>
      </c>
      <c r="B14">
        <v>21</v>
      </c>
      <c r="C14">
        <v>8.93</v>
      </c>
      <c r="D14">
        <v>8.83</v>
      </c>
      <c r="G14">
        <v>8.93</v>
      </c>
      <c r="H14">
        <v>8.9499999999999993</v>
      </c>
      <c r="I14">
        <f t="shared" si="0"/>
        <v>8.91</v>
      </c>
      <c r="J14">
        <f t="shared" si="1"/>
        <v>5.4160256030906122E-2</v>
      </c>
    </row>
    <row r="15" spans="1:11" x14ac:dyDescent="0.2">
      <c r="A15" s="30">
        <v>44309</v>
      </c>
      <c r="B15">
        <v>23</v>
      </c>
      <c r="C15">
        <v>8.14</v>
      </c>
      <c r="D15">
        <v>8.93</v>
      </c>
      <c r="G15">
        <v>8.98</v>
      </c>
      <c r="H15">
        <v>8.99</v>
      </c>
      <c r="I15">
        <f t="shared" si="0"/>
        <v>8.76</v>
      </c>
      <c r="J15">
        <f t="shared" si="1"/>
        <v>0.41416582830230353</v>
      </c>
    </row>
    <row r="16" spans="1:11" x14ac:dyDescent="0.2">
      <c r="A16" s="30">
        <v>44312</v>
      </c>
      <c r="B16">
        <v>26</v>
      </c>
      <c r="C16">
        <v>8.93</v>
      </c>
      <c r="D16">
        <v>8.93</v>
      </c>
      <c r="G16">
        <v>8.81</v>
      </c>
      <c r="H16">
        <v>8.7799999999999994</v>
      </c>
      <c r="I16">
        <f t="shared" si="0"/>
        <v>8.8625000000000007</v>
      </c>
      <c r="J16">
        <f t="shared" si="1"/>
        <v>7.8898669190297449E-2</v>
      </c>
      <c r="K16">
        <f>AVERAGE(I16:I44)</f>
        <v>9.5375862068965525</v>
      </c>
    </row>
    <row r="17" spans="1:10" x14ac:dyDescent="0.2">
      <c r="A17" s="30">
        <v>44314</v>
      </c>
      <c r="B17">
        <v>28</v>
      </c>
      <c r="C17">
        <v>9</v>
      </c>
      <c r="D17">
        <v>8.5299999999999994</v>
      </c>
      <c r="G17">
        <v>8.9700000000000006</v>
      </c>
      <c r="H17">
        <v>9.98</v>
      </c>
      <c r="I17">
        <f t="shared" si="0"/>
        <v>9.120000000000001</v>
      </c>
      <c r="J17">
        <f t="shared" si="1"/>
        <v>0.61226355980628733</v>
      </c>
    </row>
    <row r="18" spans="1:10" x14ac:dyDescent="0.2">
      <c r="A18" s="30">
        <v>44316</v>
      </c>
      <c r="B18">
        <v>30</v>
      </c>
      <c r="C18">
        <v>8.82</v>
      </c>
      <c r="D18">
        <v>8.7100000000000009</v>
      </c>
      <c r="G18">
        <v>8.91</v>
      </c>
      <c r="H18">
        <v>9.6300000000000008</v>
      </c>
      <c r="I18">
        <f t="shared" si="0"/>
        <v>9.0175000000000001</v>
      </c>
      <c r="J18">
        <f t="shared" si="1"/>
        <v>0.41644327344789722</v>
      </c>
    </row>
    <row r="19" spans="1:10" x14ac:dyDescent="0.2">
      <c r="A19" s="30">
        <v>44319</v>
      </c>
      <c r="B19">
        <v>33</v>
      </c>
      <c r="C19">
        <v>8.83</v>
      </c>
      <c r="D19">
        <v>8.35</v>
      </c>
      <c r="G19">
        <v>9.76</v>
      </c>
      <c r="H19">
        <v>8.41</v>
      </c>
      <c r="I19">
        <f t="shared" si="0"/>
        <v>8.8374999999999986</v>
      </c>
      <c r="J19">
        <f t="shared" si="1"/>
        <v>0.65101843291876149</v>
      </c>
    </row>
    <row r="20" spans="1:10" x14ac:dyDescent="0.2">
      <c r="A20" s="30">
        <v>44321</v>
      </c>
      <c r="B20">
        <v>35</v>
      </c>
      <c r="C20">
        <v>9.6300000000000008</v>
      </c>
      <c r="D20">
        <v>9.1199999999999992</v>
      </c>
      <c r="G20">
        <v>9.52</v>
      </c>
      <c r="H20">
        <v>9.2899999999999991</v>
      </c>
      <c r="I20">
        <f t="shared" si="0"/>
        <v>9.39</v>
      </c>
      <c r="J20">
        <f t="shared" si="1"/>
        <v>0.22905603390146037</v>
      </c>
    </row>
    <row r="21" spans="1:10" x14ac:dyDescent="0.2">
      <c r="A21" s="30">
        <v>44323</v>
      </c>
      <c r="B21">
        <v>37</v>
      </c>
      <c r="C21">
        <v>9.52</v>
      </c>
      <c r="D21">
        <v>9.2899999999999991</v>
      </c>
      <c r="G21">
        <v>9.61</v>
      </c>
      <c r="H21">
        <v>9.57</v>
      </c>
      <c r="I21">
        <f t="shared" si="0"/>
        <v>9.4974999999999987</v>
      </c>
      <c r="J21">
        <f t="shared" si="1"/>
        <v>0.14314910641239348</v>
      </c>
    </row>
    <row r="22" spans="1:10" x14ac:dyDescent="0.2">
      <c r="A22" s="30">
        <v>44326</v>
      </c>
      <c r="B22">
        <v>40</v>
      </c>
      <c r="C22">
        <v>9.91</v>
      </c>
      <c r="D22">
        <v>9.16</v>
      </c>
      <c r="G22">
        <v>9.1999999999999993</v>
      </c>
      <c r="H22">
        <v>9.6300000000000008</v>
      </c>
      <c r="I22">
        <f t="shared" si="0"/>
        <v>9.4749999999999996</v>
      </c>
      <c r="J22">
        <f t="shared" si="1"/>
        <v>0.35967577992779398</v>
      </c>
    </row>
    <row r="23" spans="1:10" x14ac:dyDescent="0.2">
      <c r="A23" s="30">
        <v>44328</v>
      </c>
      <c r="B23">
        <v>42</v>
      </c>
      <c r="C23">
        <v>9.66</v>
      </c>
      <c r="D23">
        <v>9.17</v>
      </c>
      <c r="G23">
        <v>9.89</v>
      </c>
      <c r="H23">
        <v>9.7200000000000006</v>
      </c>
      <c r="I23">
        <f t="shared" si="0"/>
        <v>9.61</v>
      </c>
      <c r="J23">
        <f t="shared" si="1"/>
        <v>0.30908467016876379</v>
      </c>
    </row>
    <row r="24" spans="1:10" x14ac:dyDescent="0.2">
      <c r="A24" s="30">
        <v>44330</v>
      </c>
      <c r="B24">
        <v>44</v>
      </c>
      <c r="C24">
        <v>9.6300000000000008</v>
      </c>
      <c r="D24">
        <v>9.07</v>
      </c>
      <c r="G24">
        <v>9.06</v>
      </c>
      <c r="H24">
        <v>9.77</v>
      </c>
      <c r="I24">
        <f t="shared" si="0"/>
        <v>9.3825000000000003</v>
      </c>
      <c r="J24">
        <f t="shared" si="1"/>
        <v>0.37106827763454331</v>
      </c>
    </row>
    <row r="25" spans="1:10" x14ac:dyDescent="0.2">
      <c r="A25" s="30">
        <v>44333</v>
      </c>
      <c r="B25">
        <v>47</v>
      </c>
      <c r="C25">
        <v>9.64</v>
      </c>
      <c r="D25">
        <v>9.1199999999999992</v>
      </c>
      <c r="G25">
        <v>9.84</v>
      </c>
      <c r="H25">
        <v>9.33</v>
      </c>
      <c r="I25">
        <f t="shared" si="0"/>
        <v>9.4824999999999999</v>
      </c>
      <c r="J25">
        <f t="shared" si="1"/>
        <v>0.32003906011610556</v>
      </c>
    </row>
    <row r="26" spans="1:10" x14ac:dyDescent="0.2">
      <c r="A26" s="30">
        <v>44335</v>
      </c>
      <c r="B26">
        <v>49</v>
      </c>
      <c r="C26">
        <v>9.41</v>
      </c>
      <c r="D26">
        <v>9.4499999999999993</v>
      </c>
      <c r="G26">
        <v>9.7899999999999991</v>
      </c>
      <c r="H26">
        <v>9.39</v>
      </c>
      <c r="I26">
        <f t="shared" si="0"/>
        <v>9.51</v>
      </c>
      <c r="J26">
        <f t="shared" si="1"/>
        <v>0.18832595855767328</v>
      </c>
    </row>
    <row r="27" spans="1:10" x14ac:dyDescent="0.2">
      <c r="A27" s="30">
        <v>44337</v>
      </c>
      <c r="B27">
        <v>51</v>
      </c>
      <c r="C27">
        <v>9.58</v>
      </c>
      <c r="D27">
        <v>9.49</v>
      </c>
      <c r="G27">
        <v>9.14</v>
      </c>
      <c r="H27">
        <v>9.0500000000000007</v>
      </c>
      <c r="I27">
        <f t="shared" si="0"/>
        <v>9.3150000000000013</v>
      </c>
      <c r="J27">
        <f t="shared" si="1"/>
        <v>0.25929391302792509</v>
      </c>
    </row>
    <row r="28" spans="1:10" x14ac:dyDescent="0.2">
      <c r="A28" s="30">
        <v>44340</v>
      </c>
      <c r="B28">
        <v>54</v>
      </c>
      <c r="C28">
        <v>9.44</v>
      </c>
      <c r="D28">
        <v>9.59</v>
      </c>
      <c r="G28">
        <v>9.1</v>
      </c>
      <c r="H28">
        <v>9.8800000000000008</v>
      </c>
      <c r="I28">
        <f t="shared" si="0"/>
        <v>9.5025000000000013</v>
      </c>
      <c r="J28">
        <f t="shared" si="1"/>
        <v>0.32458948432340445</v>
      </c>
    </row>
    <row r="29" spans="1:10" x14ac:dyDescent="0.2">
      <c r="A29" s="30">
        <v>44342</v>
      </c>
      <c r="B29">
        <v>56</v>
      </c>
      <c r="C29">
        <v>9.23</v>
      </c>
      <c r="D29">
        <v>9.9600000000000009</v>
      </c>
      <c r="G29">
        <v>9.9499999999999993</v>
      </c>
      <c r="H29">
        <v>9.85</v>
      </c>
      <c r="I29">
        <f t="shared" si="0"/>
        <v>9.7475000000000005</v>
      </c>
      <c r="J29">
        <f t="shared" si="1"/>
        <v>0.34855654730139057</v>
      </c>
    </row>
    <row r="30" spans="1:10" x14ac:dyDescent="0.2">
      <c r="A30" s="30">
        <v>44344</v>
      </c>
      <c r="B30">
        <v>58</v>
      </c>
      <c r="C30">
        <v>9.9600000000000009</v>
      </c>
      <c r="D30">
        <v>9</v>
      </c>
      <c r="G30">
        <v>9.81</v>
      </c>
      <c r="H30">
        <v>9.7799999999999994</v>
      </c>
      <c r="I30">
        <f t="shared" si="0"/>
        <v>9.6375000000000011</v>
      </c>
      <c r="J30">
        <f t="shared" si="1"/>
        <v>0.43223257628272327</v>
      </c>
    </row>
    <row r="31" spans="1:10" x14ac:dyDescent="0.2">
      <c r="A31" s="30">
        <v>44347</v>
      </c>
      <c r="B31">
        <v>61</v>
      </c>
      <c r="C31">
        <v>9.66</v>
      </c>
      <c r="D31">
        <v>9.66</v>
      </c>
      <c r="G31">
        <v>9.7899999999999991</v>
      </c>
      <c r="H31">
        <v>9.7200000000000006</v>
      </c>
      <c r="I31">
        <f t="shared" si="0"/>
        <v>9.7074999999999996</v>
      </c>
      <c r="J31">
        <f t="shared" si="1"/>
        <v>6.1846584384264498E-2</v>
      </c>
    </row>
    <row r="32" spans="1:10" x14ac:dyDescent="0.2">
      <c r="A32" s="30">
        <v>44349</v>
      </c>
      <c r="B32">
        <v>63</v>
      </c>
      <c r="C32">
        <v>9.43</v>
      </c>
      <c r="D32">
        <v>9.3800000000000008</v>
      </c>
      <c r="G32">
        <v>9.5399999999999991</v>
      </c>
      <c r="H32">
        <v>9.52</v>
      </c>
      <c r="I32">
        <f t="shared" si="0"/>
        <v>9.4675000000000011</v>
      </c>
      <c r="J32">
        <f t="shared" si="1"/>
        <v>7.5443135318374543E-2</v>
      </c>
    </row>
    <row r="33" spans="1:11" x14ac:dyDescent="0.2">
      <c r="A33" s="30">
        <v>44351</v>
      </c>
      <c r="B33">
        <v>65</v>
      </c>
      <c r="C33">
        <v>9.8800000000000008</v>
      </c>
      <c r="D33">
        <v>9.8699999999999992</v>
      </c>
      <c r="G33">
        <v>9.11</v>
      </c>
      <c r="H33">
        <v>9.17</v>
      </c>
      <c r="I33">
        <f t="shared" si="0"/>
        <v>9.5075000000000003</v>
      </c>
      <c r="J33">
        <f t="shared" si="1"/>
        <v>0.42507842413684893</v>
      </c>
    </row>
    <row r="34" spans="1:11" x14ac:dyDescent="0.2">
      <c r="A34" s="30">
        <v>44354</v>
      </c>
      <c r="B34">
        <v>68</v>
      </c>
      <c r="C34">
        <v>9.85</v>
      </c>
      <c r="D34">
        <v>9.0500000000000007</v>
      </c>
      <c r="G34">
        <v>9.3800000000000008</v>
      </c>
      <c r="H34">
        <v>9.3699999999999992</v>
      </c>
      <c r="I34">
        <f t="shared" si="0"/>
        <v>9.4124999999999996</v>
      </c>
      <c r="J34">
        <f t="shared" si="1"/>
        <v>0.32948191654980558</v>
      </c>
    </row>
    <row r="35" spans="1:11" x14ac:dyDescent="0.2">
      <c r="A35" s="30">
        <v>44356</v>
      </c>
      <c r="B35">
        <v>70</v>
      </c>
      <c r="C35">
        <v>9.43</v>
      </c>
      <c r="D35">
        <v>9.4600000000000009</v>
      </c>
      <c r="G35">
        <v>9.07</v>
      </c>
      <c r="H35">
        <v>9.15</v>
      </c>
      <c r="I35">
        <f t="shared" si="0"/>
        <v>9.2774999999999999</v>
      </c>
      <c r="J35">
        <f t="shared" si="1"/>
        <v>0.19653244007033549</v>
      </c>
    </row>
    <row r="36" spans="1:11" x14ac:dyDescent="0.2">
      <c r="A36" s="30">
        <v>44358</v>
      </c>
      <c r="B36">
        <v>72</v>
      </c>
      <c r="C36">
        <v>9.4700000000000006</v>
      </c>
      <c r="D36">
        <v>9.9600000000000009</v>
      </c>
      <c r="G36">
        <v>9.91</v>
      </c>
      <c r="H36">
        <v>9.98</v>
      </c>
      <c r="I36">
        <f t="shared" si="0"/>
        <v>9.83</v>
      </c>
      <c r="J36">
        <f t="shared" si="1"/>
        <v>0.24179881444429507</v>
      </c>
    </row>
    <row r="37" spans="1:11" x14ac:dyDescent="0.2">
      <c r="A37" s="30">
        <v>44361</v>
      </c>
      <c r="B37">
        <v>75</v>
      </c>
      <c r="C37">
        <v>9.92</v>
      </c>
      <c r="D37">
        <v>9.94</v>
      </c>
      <c r="G37">
        <v>9.93</v>
      </c>
      <c r="H37">
        <v>9.31</v>
      </c>
      <c r="I37">
        <f t="shared" si="0"/>
        <v>9.7750000000000004</v>
      </c>
      <c r="J37">
        <f t="shared" si="1"/>
        <v>0.3101075082397497</v>
      </c>
    </row>
    <row r="38" spans="1:11" x14ac:dyDescent="0.2">
      <c r="A38" s="30">
        <v>44363</v>
      </c>
      <c r="B38">
        <v>77</v>
      </c>
      <c r="C38">
        <v>10.050000000000001</v>
      </c>
      <c r="D38">
        <v>10.01</v>
      </c>
      <c r="G38">
        <v>10.02</v>
      </c>
      <c r="H38">
        <v>10.01</v>
      </c>
      <c r="I38">
        <f t="shared" si="0"/>
        <v>10.022500000000001</v>
      </c>
      <c r="J38">
        <f t="shared" si="1"/>
        <v>1.8929694486001368E-2</v>
      </c>
    </row>
    <row r="39" spans="1:11" x14ac:dyDescent="0.2">
      <c r="A39" s="30">
        <v>44365</v>
      </c>
      <c r="B39">
        <v>79</v>
      </c>
      <c r="C39">
        <v>10.039999999999999</v>
      </c>
      <c r="D39">
        <v>10.06</v>
      </c>
      <c r="G39">
        <v>10.09</v>
      </c>
      <c r="H39">
        <v>10.06</v>
      </c>
      <c r="I39">
        <f t="shared" si="0"/>
        <v>10.0625</v>
      </c>
      <c r="J39">
        <f t="shared" si="1"/>
        <v>2.061552812808851E-2</v>
      </c>
    </row>
    <row r="40" spans="1:11" x14ac:dyDescent="0.2">
      <c r="A40" s="30">
        <v>44368</v>
      </c>
      <c r="B40">
        <v>82</v>
      </c>
      <c r="C40">
        <v>9.94</v>
      </c>
      <c r="D40">
        <v>9.91</v>
      </c>
      <c r="G40">
        <v>9.9700000000000006</v>
      </c>
      <c r="H40">
        <v>9.92</v>
      </c>
      <c r="I40">
        <f t="shared" si="0"/>
        <v>9.9350000000000005</v>
      </c>
      <c r="J40">
        <f t="shared" si="1"/>
        <v>2.6457513110646123E-2</v>
      </c>
    </row>
    <row r="41" spans="1:11" x14ac:dyDescent="0.2">
      <c r="A41" s="30">
        <v>44370</v>
      </c>
      <c r="B41">
        <v>84</v>
      </c>
      <c r="C41">
        <v>9.9499999999999993</v>
      </c>
      <c r="D41">
        <v>9.99</v>
      </c>
      <c r="G41">
        <v>9.99</v>
      </c>
      <c r="H41">
        <v>9.94</v>
      </c>
      <c r="I41">
        <f t="shared" si="0"/>
        <v>9.9674999999999994</v>
      </c>
      <c r="J41">
        <f t="shared" si="1"/>
        <v>2.6299556396766288E-2</v>
      </c>
    </row>
    <row r="42" spans="1:11" x14ac:dyDescent="0.2">
      <c r="A42" s="30">
        <v>44372</v>
      </c>
      <c r="B42">
        <v>86</v>
      </c>
      <c r="C42">
        <v>9.9600000000000009</v>
      </c>
      <c r="D42">
        <v>9.56</v>
      </c>
      <c r="G42">
        <v>9.7899999999999991</v>
      </c>
      <c r="H42">
        <v>9.92</v>
      </c>
      <c r="I42">
        <f t="shared" si="0"/>
        <v>9.807500000000001</v>
      </c>
      <c r="J42">
        <f t="shared" si="1"/>
        <v>0.18025444978326244</v>
      </c>
    </row>
    <row r="43" spans="1:11" x14ac:dyDescent="0.2">
      <c r="A43" s="30">
        <v>44375</v>
      </c>
      <c r="B43">
        <v>89</v>
      </c>
      <c r="C43">
        <v>9.09</v>
      </c>
      <c r="D43">
        <v>9.14</v>
      </c>
      <c r="G43">
        <v>9.82</v>
      </c>
      <c r="H43">
        <v>9.65</v>
      </c>
      <c r="I43">
        <f t="shared" si="0"/>
        <v>9.4250000000000007</v>
      </c>
      <c r="J43">
        <f t="shared" si="1"/>
        <v>0.36519401236420446</v>
      </c>
    </row>
    <row r="44" spans="1:11" x14ac:dyDescent="0.2">
      <c r="A44" s="30">
        <v>44377</v>
      </c>
      <c r="B44">
        <v>91</v>
      </c>
      <c r="C44">
        <v>9.99</v>
      </c>
      <c r="D44">
        <v>10</v>
      </c>
      <c r="G44">
        <v>10.01</v>
      </c>
      <c r="H44">
        <v>10.02</v>
      </c>
      <c r="I44">
        <f t="shared" si="0"/>
        <v>10.004999999999999</v>
      </c>
      <c r="J44">
        <f t="shared" si="1"/>
        <v>1.290994448735778E-2</v>
      </c>
    </row>
    <row r="45" spans="1:11" x14ac:dyDescent="0.2">
      <c r="A45" s="30">
        <v>44379</v>
      </c>
      <c r="B45">
        <v>93</v>
      </c>
      <c r="C45">
        <v>10.01</v>
      </c>
      <c r="D45">
        <v>10.02</v>
      </c>
      <c r="G45">
        <v>10.029999999999999</v>
      </c>
      <c r="H45">
        <v>10.01</v>
      </c>
      <c r="I45">
        <f t="shared" si="0"/>
        <v>10.0175</v>
      </c>
      <c r="J45">
        <f t="shared" si="1"/>
        <v>9.5742710775631769E-3</v>
      </c>
      <c r="K45">
        <f>AVERAGE(I45:I58)</f>
        <v>10.220357142857141</v>
      </c>
    </row>
    <row r="46" spans="1:11" x14ac:dyDescent="0.2">
      <c r="A46" s="30">
        <v>44382</v>
      </c>
      <c r="B46">
        <v>96</v>
      </c>
      <c r="C46">
        <v>10</v>
      </c>
      <c r="D46">
        <v>10.029999999999999</v>
      </c>
      <c r="G46">
        <v>10.07</v>
      </c>
      <c r="H46">
        <v>10.050000000000001</v>
      </c>
      <c r="I46">
        <f t="shared" si="0"/>
        <v>10.037500000000001</v>
      </c>
      <c r="J46">
        <f t="shared" si="1"/>
        <v>2.9860788111948453E-2</v>
      </c>
    </row>
    <row r="47" spans="1:11" x14ac:dyDescent="0.2">
      <c r="A47" s="30">
        <v>44384</v>
      </c>
      <c r="B47">
        <v>98</v>
      </c>
      <c r="C47">
        <v>10.09</v>
      </c>
      <c r="D47">
        <v>10.029999999999999</v>
      </c>
      <c r="G47">
        <v>10.09</v>
      </c>
      <c r="H47">
        <v>10.07</v>
      </c>
      <c r="I47">
        <f t="shared" si="0"/>
        <v>10.07</v>
      </c>
      <c r="J47">
        <f t="shared" si="1"/>
        <v>2.8284271247462134E-2</v>
      </c>
    </row>
    <row r="48" spans="1:11" x14ac:dyDescent="0.2">
      <c r="A48" s="30">
        <v>44417</v>
      </c>
      <c r="B48">
        <v>100</v>
      </c>
      <c r="C48">
        <v>10.199999999999999</v>
      </c>
      <c r="D48">
        <v>10.18</v>
      </c>
      <c r="G48">
        <v>10.18</v>
      </c>
      <c r="H48">
        <v>10.23</v>
      </c>
      <c r="I48">
        <f t="shared" si="0"/>
        <v>10.1975</v>
      </c>
      <c r="J48">
        <f t="shared" si="1"/>
        <v>2.3629078131263352E-2</v>
      </c>
    </row>
    <row r="49" spans="1:11" x14ac:dyDescent="0.2">
      <c r="A49" s="30">
        <v>44419</v>
      </c>
      <c r="B49">
        <v>102</v>
      </c>
      <c r="C49">
        <v>10.15</v>
      </c>
      <c r="D49">
        <v>10.09</v>
      </c>
      <c r="G49">
        <v>10.19</v>
      </c>
      <c r="H49">
        <v>10.18</v>
      </c>
      <c r="I49">
        <f t="shared" si="0"/>
        <v>10.1525</v>
      </c>
      <c r="J49">
        <f t="shared" si="1"/>
        <v>4.4999999999999866E-2</v>
      </c>
    </row>
    <row r="50" spans="1:11" x14ac:dyDescent="0.2">
      <c r="A50" s="30">
        <v>44421</v>
      </c>
      <c r="B50">
        <v>104</v>
      </c>
      <c r="C50">
        <v>10.29</v>
      </c>
      <c r="D50">
        <v>10.220000000000001</v>
      </c>
      <c r="G50">
        <v>10.199999999999999</v>
      </c>
      <c r="H50">
        <v>10.23</v>
      </c>
      <c r="I50">
        <f t="shared" si="0"/>
        <v>10.234999999999999</v>
      </c>
      <c r="J50">
        <f t="shared" si="1"/>
        <v>3.8729833462073884E-2</v>
      </c>
    </row>
    <row r="51" spans="1:11" x14ac:dyDescent="0.2">
      <c r="A51" s="30">
        <v>44424</v>
      </c>
      <c r="B51">
        <v>107</v>
      </c>
      <c r="C51">
        <v>10.25</v>
      </c>
      <c r="D51">
        <v>10.24</v>
      </c>
      <c r="G51">
        <v>10.26</v>
      </c>
      <c r="H51">
        <v>10.27</v>
      </c>
      <c r="I51">
        <f t="shared" si="0"/>
        <v>10.254999999999999</v>
      </c>
      <c r="J51">
        <f t="shared" si="1"/>
        <v>1.290994448735778E-2</v>
      </c>
    </row>
    <row r="52" spans="1:11" x14ac:dyDescent="0.2">
      <c r="A52" s="30">
        <v>44426</v>
      </c>
      <c r="B52">
        <v>109</v>
      </c>
      <c r="C52">
        <v>10.32</v>
      </c>
      <c r="D52">
        <v>10.27</v>
      </c>
      <c r="G52">
        <v>10.3</v>
      </c>
      <c r="H52">
        <v>10.29</v>
      </c>
      <c r="I52">
        <f t="shared" si="0"/>
        <v>10.295</v>
      </c>
      <c r="J52">
        <f t="shared" si="1"/>
        <v>2.081665999466174E-2</v>
      </c>
    </row>
    <row r="53" spans="1:11" x14ac:dyDescent="0.2">
      <c r="A53" s="30">
        <v>44428</v>
      </c>
      <c r="B53">
        <v>111</v>
      </c>
      <c r="C53">
        <v>10.3</v>
      </c>
      <c r="D53">
        <v>10.29</v>
      </c>
      <c r="G53">
        <v>10.27</v>
      </c>
      <c r="H53">
        <v>10.3</v>
      </c>
      <c r="I53">
        <f t="shared" si="0"/>
        <v>10.29</v>
      </c>
      <c r="J53">
        <f t="shared" si="1"/>
        <v>1.4142135623731487E-2</v>
      </c>
    </row>
    <row r="54" spans="1:11" x14ac:dyDescent="0.2">
      <c r="A54" s="30">
        <v>44431</v>
      </c>
      <c r="B54">
        <v>115</v>
      </c>
      <c r="C54">
        <v>10.33</v>
      </c>
      <c r="D54">
        <v>10.3</v>
      </c>
      <c r="G54">
        <v>10.31</v>
      </c>
      <c r="H54">
        <v>10.29</v>
      </c>
      <c r="I54">
        <f t="shared" si="0"/>
        <v>10.307500000000001</v>
      </c>
      <c r="J54">
        <f t="shared" si="1"/>
        <v>1.7078251276599572E-2</v>
      </c>
    </row>
    <row r="55" spans="1:11" x14ac:dyDescent="0.2">
      <c r="A55" s="30">
        <v>44433</v>
      </c>
      <c r="B55">
        <v>117</v>
      </c>
      <c r="C55">
        <v>10.29</v>
      </c>
      <c r="D55">
        <v>10.35</v>
      </c>
      <c r="G55">
        <v>10.33</v>
      </c>
      <c r="H55">
        <v>10.3</v>
      </c>
      <c r="I55">
        <f t="shared" si="0"/>
        <v>10.317499999999999</v>
      </c>
      <c r="J55">
        <f t="shared" si="1"/>
        <v>2.7537852736430512E-2</v>
      </c>
    </row>
    <row r="56" spans="1:11" x14ac:dyDescent="0.2">
      <c r="A56" s="30">
        <v>44435</v>
      </c>
      <c r="B56">
        <v>119</v>
      </c>
      <c r="C56">
        <v>10.34</v>
      </c>
      <c r="D56">
        <v>10.35</v>
      </c>
      <c r="G56">
        <v>10.32</v>
      </c>
      <c r="H56">
        <v>10.34</v>
      </c>
      <c r="I56">
        <f t="shared" si="0"/>
        <v>10.337499999999999</v>
      </c>
      <c r="J56">
        <f t="shared" si="1"/>
        <v>1.2583057392117647E-2</v>
      </c>
    </row>
    <row r="57" spans="1:11" x14ac:dyDescent="0.2">
      <c r="A57" s="30">
        <v>44438</v>
      </c>
      <c r="B57">
        <v>122</v>
      </c>
      <c r="C57">
        <v>10.28</v>
      </c>
      <c r="D57">
        <v>10.29</v>
      </c>
      <c r="G57">
        <v>10.29</v>
      </c>
      <c r="H57">
        <v>10.3</v>
      </c>
      <c r="I57">
        <f t="shared" si="0"/>
        <v>10.29</v>
      </c>
      <c r="J57">
        <f t="shared" si="1"/>
        <v>8.1649658092778112E-3</v>
      </c>
    </row>
    <row r="58" spans="1:11" x14ac:dyDescent="0.2">
      <c r="A58" s="30">
        <v>44440</v>
      </c>
      <c r="B58">
        <v>124</v>
      </c>
      <c r="C58">
        <v>10.27</v>
      </c>
      <c r="D58">
        <v>10.28</v>
      </c>
      <c r="G58">
        <v>10.29</v>
      </c>
      <c r="H58">
        <v>10.29</v>
      </c>
      <c r="I58">
        <f t="shared" si="0"/>
        <v>10.282499999999999</v>
      </c>
      <c r="J58">
        <f t="shared" si="1"/>
        <v>9.5742710775631769E-3</v>
      </c>
    </row>
    <row r="59" spans="1:11" x14ac:dyDescent="0.2">
      <c r="A59" s="30">
        <v>44442</v>
      </c>
      <c r="B59">
        <v>126</v>
      </c>
      <c r="C59">
        <v>10.29</v>
      </c>
      <c r="D59">
        <v>10.24</v>
      </c>
      <c r="G59">
        <v>10.27</v>
      </c>
      <c r="H59">
        <v>10.29</v>
      </c>
      <c r="I59">
        <f t="shared" si="0"/>
        <v>10.272500000000001</v>
      </c>
      <c r="J59">
        <f t="shared" si="1"/>
        <v>2.3629078131262537E-2</v>
      </c>
      <c r="K59">
        <f>AVERAGE(I59:I72)</f>
        <v>10.313750000000002</v>
      </c>
    </row>
    <row r="60" spans="1:11" x14ac:dyDescent="0.2">
      <c r="A60" s="30">
        <v>44445</v>
      </c>
      <c r="B60">
        <v>129</v>
      </c>
      <c r="C60">
        <v>10.3</v>
      </c>
      <c r="D60">
        <v>10.28</v>
      </c>
      <c r="G60">
        <v>10.32</v>
      </c>
      <c r="H60">
        <v>10.31</v>
      </c>
      <c r="I60">
        <f t="shared" si="0"/>
        <v>10.3025</v>
      </c>
      <c r="J60">
        <f t="shared" si="1"/>
        <v>1.7078251276599746E-2</v>
      </c>
    </row>
    <row r="61" spans="1:11" x14ac:dyDescent="0.2">
      <c r="A61" s="30">
        <v>44447</v>
      </c>
      <c r="B61">
        <v>131</v>
      </c>
      <c r="C61">
        <v>10.29</v>
      </c>
      <c r="D61">
        <v>10.31</v>
      </c>
      <c r="G61">
        <v>10.32</v>
      </c>
      <c r="H61">
        <v>10.33</v>
      </c>
      <c r="I61">
        <f t="shared" si="0"/>
        <v>10.3125</v>
      </c>
      <c r="J61">
        <f t="shared" si="1"/>
        <v>1.7078251276599746E-2</v>
      </c>
    </row>
    <row r="62" spans="1:11" x14ac:dyDescent="0.2">
      <c r="A62" s="30">
        <v>44449</v>
      </c>
      <c r="B62">
        <v>133</v>
      </c>
      <c r="C62">
        <v>10.31</v>
      </c>
      <c r="D62">
        <v>10.32</v>
      </c>
      <c r="G62">
        <v>10.32</v>
      </c>
      <c r="H62">
        <v>10.35</v>
      </c>
      <c r="I62">
        <f t="shared" si="0"/>
        <v>10.325000000000001</v>
      </c>
      <c r="J62">
        <f t="shared" si="1"/>
        <v>1.7320508075688402E-2</v>
      </c>
    </row>
    <row r="63" spans="1:11" x14ac:dyDescent="0.2">
      <c r="A63" s="30">
        <v>44452</v>
      </c>
      <c r="B63">
        <v>136</v>
      </c>
      <c r="C63">
        <v>10.1</v>
      </c>
      <c r="D63">
        <v>10.57</v>
      </c>
      <c r="G63">
        <v>10.99</v>
      </c>
      <c r="H63">
        <v>10.91</v>
      </c>
      <c r="I63">
        <f t="shared" si="0"/>
        <v>10.642500000000002</v>
      </c>
      <c r="J63">
        <f t="shared" si="1"/>
        <v>0.40491768710854498</v>
      </c>
    </row>
    <row r="64" spans="1:11" x14ac:dyDescent="0.2">
      <c r="A64" s="30">
        <v>44454</v>
      </c>
      <c r="B64">
        <v>138</v>
      </c>
      <c r="C64">
        <v>10.79</v>
      </c>
      <c r="D64">
        <v>10.59</v>
      </c>
      <c r="G64">
        <v>10.029999999999999</v>
      </c>
      <c r="H64">
        <v>10.1</v>
      </c>
      <c r="I64">
        <f t="shared" si="0"/>
        <v>10.3775</v>
      </c>
      <c r="J64">
        <f t="shared" si="1"/>
        <v>0.37106827763454348</v>
      </c>
    </row>
    <row r="65" spans="1:10" x14ac:dyDescent="0.2">
      <c r="A65" s="30">
        <v>44456</v>
      </c>
      <c r="B65">
        <v>140</v>
      </c>
      <c r="C65">
        <v>10.37</v>
      </c>
      <c r="D65">
        <v>10.45</v>
      </c>
      <c r="G65">
        <v>10.42</v>
      </c>
      <c r="H65">
        <v>10.3</v>
      </c>
      <c r="I65">
        <f t="shared" si="0"/>
        <v>10.385000000000002</v>
      </c>
      <c r="J65">
        <f t="shared" si="1"/>
        <v>6.557438524301952E-2</v>
      </c>
    </row>
    <row r="66" spans="1:10" x14ac:dyDescent="0.2">
      <c r="A66" s="30">
        <v>44459</v>
      </c>
      <c r="B66">
        <v>143</v>
      </c>
      <c r="C66">
        <v>10.54</v>
      </c>
      <c r="D66">
        <v>10.32</v>
      </c>
      <c r="G66">
        <v>10.28</v>
      </c>
      <c r="H66">
        <v>10.67</v>
      </c>
      <c r="I66">
        <f t="shared" si="0"/>
        <v>10.452500000000001</v>
      </c>
      <c r="J66">
        <f t="shared" si="1"/>
        <v>0.18463928798245149</v>
      </c>
    </row>
    <row r="67" spans="1:10" x14ac:dyDescent="0.2">
      <c r="A67" s="30">
        <v>44461</v>
      </c>
      <c r="B67">
        <v>145</v>
      </c>
      <c r="C67">
        <v>10.01</v>
      </c>
      <c r="D67">
        <v>10.68</v>
      </c>
      <c r="G67">
        <v>10.01</v>
      </c>
      <c r="H67">
        <v>10.199999999999999</v>
      </c>
      <c r="I67">
        <f t="shared" si="0"/>
        <v>10.224999999999998</v>
      </c>
      <c r="J67">
        <f t="shared" si="1"/>
        <v>0.31628046625318695</v>
      </c>
    </row>
    <row r="68" spans="1:10" x14ac:dyDescent="0.2">
      <c r="A68" s="30">
        <v>44463</v>
      </c>
      <c r="B68">
        <v>147</v>
      </c>
      <c r="C68">
        <v>10.24</v>
      </c>
      <c r="D68">
        <v>10.23</v>
      </c>
      <c r="G68">
        <v>10.26</v>
      </c>
      <c r="H68">
        <v>10.25</v>
      </c>
      <c r="I68">
        <f t="shared" si="0"/>
        <v>10.244999999999999</v>
      </c>
      <c r="J68">
        <f t="shared" si="1"/>
        <v>1.2909944487357782E-2</v>
      </c>
    </row>
    <row r="69" spans="1:10" x14ac:dyDescent="0.2">
      <c r="A69" s="30">
        <v>44466</v>
      </c>
      <c r="B69">
        <v>150</v>
      </c>
      <c r="C69">
        <v>10.1</v>
      </c>
      <c r="D69">
        <v>10.45</v>
      </c>
      <c r="G69">
        <v>10.23</v>
      </c>
      <c r="H69">
        <v>10.25</v>
      </c>
      <c r="I69">
        <f t="shared" si="0"/>
        <v>10.2575</v>
      </c>
      <c r="J69">
        <f t="shared" si="1"/>
        <v>0.14453949863849191</v>
      </c>
    </row>
    <row r="70" spans="1:10" x14ac:dyDescent="0.2">
      <c r="A70" s="30">
        <v>44468</v>
      </c>
      <c r="B70">
        <v>152</v>
      </c>
      <c r="C70">
        <v>10.18</v>
      </c>
      <c r="D70">
        <v>10.19</v>
      </c>
      <c r="G70">
        <v>10.220000000000001</v>
      </c>
      <c r="H70">
        <v>10.210000000000001</v>
      </c>
      <c r="I70">
        <f t="shared" ref="I70:I75" si="2">AVERAGE(C70,D70,G70,H70)</f>
        <v>10.199999999999999</v>
      </c>
      <c r="J70">
        <f t="shared" ref="J70:J75" si="3">_xlfn.STDEV.S(C70,D70,G70,H70)</f>
        <v>1.8257418583506123E-2</v>
      </c>
    </row>
    <row r="71" spans="1:10" x14ac:dyDescent="0.2">
      <c r="A71" s="30">
        <v>44470</v>
      </c>
      <c r="B71">
        <v>154</v>
      </c>
      <c r="C71">
        <v>10.220000000000001</v>
      </c>
      <c r="D71">
        <v>10.210000000000001</v>
      </c>
      <c r="G71">
        <v>10.18</v>
      </c>
      <c r="H71">
        <v>10.16</v>
      </c>
      <c r="I71">
        <f t="shared" si="2"/>
        <v>10.192499999999999</v>
      </c>
      <c r="J71">
        <f t="shared" si="3"/>
        <v>2.753785273643089E-2</v>
      </c>
    </row>
    <row r="72" spans="1:10" x14ac:dyDescent="0.2">
      <c r="A72" s="30">
        <v>44473</v>
      </c>
      <c r="B72">
        <v>157</v>
      </c>
      <c r="C72">
        <v>10.210000000000001</v>
      </c>
      <c r="D72">
        <v>10.25</v>
      </c>
      <c r="G72">
        <v>10.15</v>
      </c>
      <c r="H72">
        <v>10.199999999999999</v>
      </c>
      <c r="I72">
        <f t="shared" si="2"/>
        <v>10.202500000000001</v>
      </c>
      <c r="J72">
        <f t="shared" si="3"/>
        <v>4.1129875597510135E-2</v>
      </c>
    </row>
    <row r="73" spans="1:10" x14ac:dyDescent="0.2">
      <c r="A73" s="30">
        <v>44475</v>
      </c>
      <c r="B73">
        <v>159</v>
      </c>
      <c r="C73">
        <v>4.58</v>
      </c>
      <c r="D73">
        <v>3.35</v>
      </c>
      <c r="G73">
        <v>4.74</v>
      </c>
      <c r="H73">
        <v>4.8099999999999996</v>
      </c>
      <c r="I73">
        <f t="shared" si="2"/>
        <v>4.37</v>
      </c>
      <c r="J73">
        <f t="shared" si="3"/>
        <v>0.68677992593454862</v>
      </c>
    </row>
    <row r="74" spans="1:10" x14ac:dyDescent="0.2">
      <c r="A74" s="30">
        <v>44477</v>
      </c>
      <c r="B74">
        <v>161</v>
      </c>
      <c r="C74">
        <v>5.33</v>
      </c>
      <c r="D74">
        <v>4.96</v>
      </c>
      <c r="G74">
        <v>4.9800000000000004</v>
      </c>
      <c r="H74">
        <v>4.9400000000000004</v>
      </c>
      <c r="I74">
        <f t="shared" si="2"/>
        <v>5.0525000000000002</v>
      </c>
      <c r="J74">
        <f t="shared" si="3"/>
        <v>0.18571932227602658</v>
      </c>
    </row>
    <row r="75" spans="1:10" x14ac:dyDescent="0.2">
      <c r="A75" s="30">
        <v>44480</v>
      </c>
      <c r="B75">
        <v>164</v>
      </c>
      <c r="C75">
        <v>6.58</v>
      </c>
      <c r="D75">
        <v>6.62</v>
      </c>
      <c r="G75">
        <v>6.98</v>
      </c>
      <c r="H75">
        <v>6.4</v>
      </c>
      <c r="I75">
        <f t="shared" si="2"/>
        <v>6.6449999999999996</v>
      </c>
      <c r="J75">
        <f t="shared" si="3"/>
        <v>0.24296776192189234</v>
      </c>
    </row>
  </sheetData>
  <mergeCells count="3">
    <mergeCell ref="C3:D3"/>
    <mergeCell ref="G3:I3"/>
    <mergeCell ref="B1:D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2"/>
  <sheetViews>
    <sheetView tabSelected="1" topLeftCell="B1" zoomScale="83" zoomScaleNormal="100" workbookViewId="0">
      <selection activeCell="E55" sqref="E55"/>
    </sheetView>
  </sheetViews>
  <sheetFormatPr baseColWidth="10" defaultRowHeight="15" x14ac:dyDescent="0.2"/>
  <sheetData>
    <row r="1" spans="1:13" x14ac:dyDescent="0.2">
      <c r="B1" s="3" t="s">
        <v>57</v>
      </c>
      <c r="C1" s="28" t="s">
        <v>67</v>
      </c>
      <c r="D1" s="3" t="s">
        <v>66</v>
      </c>
      <c r="G1" s="3" t="s">
        <v>57</v>
      </c>
      <c r="H1" s="28" t="s">
        <v>67</v>
      </c>
      <c r="I1" s="3" t="s">
        <v>66</v>
      </c>
    </row>
    <row r="2" spans="1:13" x14ac:dyDescent="0.2">
      <c r="A2" s="30">
        <v>44286</v>
      </c>
      <c r="B2">
        <v>0</v>
      </c>
      <c r="C2">
        <v>0</v>
      </c>
      <c r="D2">
        <v>0</v>
      </c>
      <c r="E2" s="27"/>
      <c r="G2">
        <v>0</v>
      </c>
      <c r="H2">
        <v>0</v>
      </c>
      <c r="I2">
        <v>0</v>
      </c>
      <c r="J2">
        <f>AVERAGE(C2,H2)</f>
        <v>0</v>
      </c>
      <c r="K2" s="27">
        <f>_xlfn.STDEV.S(C2,H2)</f>
        <v>0</v>
      </c>
      <c r="M2" s="27"/>
    </row>
    <row r="3" spans="1:13" x14ac:dyDescent="0.2">
      <c r="A3" s="30">
        <v>44288</v>
      </c>
      <c r="B3">
        <v>2</v>
      </c>
      <c r="C3">
        <v>6.3</v>
      </c>
      <c r="D3">
        <v>91.3</v>
      </c>
      <c r="G3">
        <v>2</v>
      </c>
      <c r="H3">
        <v>6.8</v>
      </c>
      <c r="I3">
        <v>91.3</v>
      </c>
      <c r="J3">
        <f>AVERAGE(C3,H3)</f>
        <v>6.55</v>
      </c>
      <c r="K3" s="27">
        <f t="shared" ref="K3:K66" si="0">_xlfn.STDEV.S(C3,H3)</f>
        <v>0.35355339059327379</v>
      </c>
      <c r="L3">
        <f>AVERAGE(J2:J11)</f>
        <v>24.82</v>
      </c>
    </row>
    <row r="4" spans="1:13" x14ac:dyDescent="0.2">
      <c r="A4" s="30">
        <v>44291</v>
      </c>
      <c r="B4">
        <v>5</v>
      </c>
      <c r="C4">
        <v>16.899999999999999</v>
      </c>
      <c r="D4">
        <v>82.3</v>
      </c>
      <c r="G4">
        <v>4</v>
      </c>
      <c r="H4">
        <v>15.8</v>
      </c>
      <c r="I4">
        <v>80.400000000000006</v>
      </c>
      <c r="J4">
        <f t="shared" ref="J4:J66" si="1">AVERAGE(C4,H4)</f>
        <v>16.350000000000001</v>
      </c>
      <c r="K4" s="27">
        <f t="shared" si="0"/>
        <v>0.77781745930520074</v>
      </c>
    </row>
    <row r="5" spans="1:13" x14ac:dyDescent="0.2">
      <c r="A5" s="30">
        <v>44293</v>
      </c>
      <c r="B5">
        <v>7</v>
      </c>
      <c r="C5">
        <v>19.7</v>
      </c>
      <c r="D5">
        <v>70.400000000000006</v>
      </c>
      <c r="G5">
        <v>6</v>
      </c>
      <c r="H5">
        <v>18.2</v>
      </c>
      <c r="I5">
        <v>58</v>
      </c>
      <c r="J5">
        <f t="shared" si="1"/>
        <v>18.95</v>
      </c>
      <c r="K5" s="27">
        <f t="shared" si="0"/>
        <v>1.0606601717798212</v>
      </c>
    </row>
    <row r="6" spans="1:13" x14ac:dyDescent="0.2">
      <c r="A6" s="30">
        <v>44295</v>
      </c>
      <c r="B6">
        <v>9</v>
      </c>
      <c r="C6">
        <v>20.2</v>
      </c>
      <c r="D6">
        <v>40.299999999999997</v>
      </c>
      <c r="G6">
        <v>8</v>
      </c>
      <c r="H6">
        <v>19.3</v>
      </c>
      <c r="I6">
        <v>48.1</v>
      </c>
      <c r="J6">
        <f t="shared" si="1"/>
        <v>19.75</v>
      </c>
      <c r="K6" s="27">
        <f t="shared" si="0"/>
        <v>0.63639610306789174</v>
      </c>
    </row>
    <row r="7" spans="1:13" x14ac:dyDescent="0.2">
      <c r="A7" s="30">
        <v>44298</v>
      </c>
      <c r="B7">
        <v>12</v>
      </c>
      <c r="C7">
        <v>26.1</v>
      </c>
      <c r="D7">
        <v>52.6</v>
      </c>
      <c r="G7">
        <v>10</v>
      </c>
      <c r="H7">
        <v>25.3</v>
      </c>
      <c r="I7">
        <v>40.299999999999997</v>
      </c>
      <c r="J7">
        <f t="shared" si="1"/>
        <v>25.700000000000003</v>
      </c>
      <c r="K7" s="27">
        <f t="shared" si="0"/>
        <v>0.56568542494923857</v>
      </c>
    </row>
    <row r="8" spans="1:13" x14ac:dyDescent="0.2">
      <c r="A8" s="30">
        <v>44300</v>
      </c>
      <c r="B8">
        <v>14</v>
      </c>
      <c r="C8">
        <v>32.700000000000003</v>
      </c>
      <c r="D8">
        <v>64.900000000000006</v>
      </c>
      <c r="G8">
        <v>12</v>
      </c>
      <c r="H8">
        <v>30.2</v>
      </c>
      <c r="I8">
        <v>50.5</v>
      </c>
      <c r="J8">
        <f t="shared" si="1"/>
        <v>31.450000000000003</v>
      </c>
      <c r="K8" s="27">
        <f t="shared" si="0"/>
        <v>1.7677669529663713</v>
      </c>
    </row>
    <row r="9" spans="1:13" x14ac:dyDescent="0.2">
      <c r="A9" s="30">
        <v>44302</v>
      </c>
      <c r="B9">
        <v>16</v>
      </c>
      <c r="C9">
        <v>37.1</v>
      </c>
      <c r="D9">
        <v>55.5</v>
      </c>
      <c r="G9">
        <v>14</v>
      </c>
      <c r="H9">
        <v>36.5</v>
      </c>
      <c r="I9">
        <v>41.5</v>
      </c>
      <c r="J9">
        <f t="shared" si="1"/>
        <v>36.799999999999997</v>
      </c>
      <c r="K9" s="27">
        <f t="shared" si="0"/>
        <v>0.42426406871192951</v>
      </c>
    </row>
    <row r="10" spans="1:13" x14ac:dyDescent="0.2">
      <c r="A10" s="30">
        <v>44305</v>
      </c>
      <c r="B10">
        <v>19</v>
      </c>
      <c r="C10">
        <v>42.6</v>
      </c>
      <c r="D10">
        <v>47.1</v>
      </c>
      <c r="G10">
        <v>16</v>
      </c>
      <c r="H10">
        <v>42.6</v>
      </c>
      <c r="I10">
        <v>42.1</v>
      </c>
      <c r="J10">
        <f t="shared" si="1"/>
        <v>42.6</v>
      </c>
      <c r="K10" s="27">
        <f t="shared" si="0"/>
        <v>0</v>
      </c>
    </row>
    <row r="11" spans="1:13" x14ac:dyDescent="0.2">
      <c r="A11" s="30">
        <v>44307</v>
      </c>
      <c r="B11">
        <v>21</v>
      </c>
      <c r="C11">
        <v>50.9</v>
      </c>
      <c r="D11">
        <v>63.7</v>
      </c>
      <c r="E11">
        <f>AVERAGE(C11:C41)</f>
        <v>67.383870967741927</v>
      </c>
      <c r="G11">
        <v>18</v>
      </c>
      <c r="H11">
        <v>49.2</v>
      </c>
      <c r="I11">
        <v>51.5</v>
      </c>
      <c r="J11">
        <f t="shared" si="1"/>
        <v>50.05</v>
      </c>
      <c r="K11" s="27">
        <f t="shared" si="0"/>
        <v>1.2020815280171278</v>
      </c>
    </row>
    <row r="12" spans="1:13" x14ac:dyDescent="0.2">
      <c r="A12" s="30">
        <v>44309</v>
      </c>
      <c r="B12">
        <v>23</v>
      </c>
      <c r="C12">
        <v>59.8</v>
      </c>
      <c r="D12">
        <v>42.8</v>
      </c>
      <c r="G12">
        <v>20</v>
      </c>
      <c r="H12">
        <v>58.9</v>
      </c>
      <c r="I12">
        <v>39.200000000000003</v>
      </c>
      <c r="J12">
        <f t="shared" si="1"/>
        <v>59.349999999999994</v>
      </c>
      <c r="K12" s="27">
        <f t="shared" si="0"/>
        <v>0.63639610306789174</v>
      </c>
      <c r="L12">
        <f>AVERAGE(J11:J41)</f>
        <v>67.454838709677432</v>
      </c>
    </row>
    <row r="13" spans="1:13" x14ac:dyDescent="0.2">
      <c r="A13" s="30">
        <v>44312</v>
      </c>
      <c r="B13">
        <v>26</v>
      </c>
      <c r="C13">
        <v>64.8</v>
      </c>
      <c r="D13">
        <v>32.9</v>
      </c>
      <c r="G13">
        <v>22</v>
      </c>
      <c r="H13">
        <v>63.3</v>
      </c>
      <c r="I13">
        <v>28.5</v>
      </c>
      <c r="J13">
        <f t="shared" si="1"/>
        <v>64.05</v>
      </c>
      <c r="K13" s="27">
        <f t="shared" si="0"/>
        <v>1.0606601717798212</v>
      </c>
    </row>
    <row r="14" spans="1:13" x14ac:dyDescent="0.2">
      <c r="A14" s="30">
        <v>44314</v>
      </c>
      <c r="B14">
        <v>28</v>
      </c>
      <c r="C14">
        <v>68.599999999999994</v>
      </c>
      <c r="D14">
        <v>31.3</v>
      </c>
      <c r="G14">
        <v>24</v>
      </c>
      <c r="H14">
        <v>65.8</v>
      </c>
      <c r="I14">
        <v>30.2</v>
      </c>
      <c r="J14">
        <f t="shared" si="1"/>
        <v>67.199999999999989</v>
      </c>
      <c r="K14" s="27">
        <f t="shared" si="0"/>
        <v>1.9798989873223309</v>
      </c>
      <c r="L14" s="27"/>
    </row>
    <row r="15" spans="1:13" x14ac:dyDescent="0.2">
      <c r="A15" s="30">
        <v>44316</v>
      </c>
      <c r="B15">
        <v>30</v>
      </c>
      <c r="C15">
        <v>70.8</v>
      </c>
      <c r="D15">
        <v>28.8</v>
      </c>
      <c r="G15">
        <v>26</v>
      </c>
      <c r="H15">
        <v>69.3</v>
      </c>
      <c r="I15">
        <v>27.3</v>
      </c>
      <c r="J15">
        <f t="shared" si="1"/>
        <v>70.05</v>
      </c>
      <c r="K15" s="27">
        <f t="shared" si="0"/>
        <v>1.0606601717798212</v>
      </c>
    </row>
    <row r="16" spans="1:13" x14ac:dyDescent="0.2">
      <c r="A16" s="30">
        <v>44319</v>
      </c>
      <c r="B16">
        <v>33</v>
      </c>
      <c r="C16">
        <v>72.7</v>
      </c>
      <c r="D16">
        <v>26.9</v>
      </c>
      <c r="G16">
        <v>28</v>
      </c>
      <c r="H16">
        <v>68.599999999999994</v>
      </c>
      <c r="I16">
        <v>36.700000000000003</v>
      </c>
      <c r="J16">
        <f t="shared" si="1"/>
        <v>70.650000000000006</v>
      </c>
      <c r="K16" s="27">
        <f t="shared" si="0"/>
        <v>2.8991378028648507</v>
      </c>
    </row>
    <row r="17" spans="1:11" x14ac:dyDescent="0.2">
      <c r="A17" s="30">
        <v>44321</v>
      </c>
      <c r="B17">
        <v>35</v>
      </c>
      <c r="C17">
        <v>69.2</v>
      </c>
      <c r="D17">
        <v>33.700000000000003</v>
      </c>
      <c r="G17">
        <v>30</v>
      </c>
      <c r="H17">
        <v>68.900000000000006</v>
      </c>
      <c r="I17">
        <v>33.5</v>
      </c>
      <c r="J17">
        <f t="shared" si="1"/>
        <v>69.050000000000011</v>
      </c>
      <c r="K17" s="27">
        <f t="shared" si="0"/>
        <v>0.21213203435596226</v>
      </c>
    </row>
    <row r="18" spans="1:11" x14ac:dyDescent="0.2">
      <c r="A18" s="30">
        <v>44323</v>
      </c>
      <c r="B18">
        <v>37</v>
      </c>
      <c r="C18">
        <v>60.4</v>
      </c>
      <c r="D18">
        <v>44.1</v>
      </c>
      <c r="H18">
        <v>63.7</v>
      </c>
      <c r="I18">
        <v>31.6</v>
      </c>
      <c r="J18">
        <f t="shared" si="1"/>
        <v>62.05</v>
      </c>
      <c r="K18" s="27">
        <f t="shared" si="0"/>
        <v>2.3334523779156098</v>
      </c>
    </row>
    <row r="19" spans="1:11" x14ac:dyDescent="0.2">
      <c r="A19" s="30">
        <v>44326</v>
      </c>
      <c r="B19">
        <v>40</v>
      </c>
      <c r="C19">
        <v>65.5</v>
      </c>
      <c r="D19">
        <v>34</v>
      </c>
      <c r="H19">
        <v>69</v>
      </c>
      <c r="I19">
        <v>18.899999999999999</v>
      </c>
      <c r="J19">
        <f t="shared" si="1"/>
        <v>67.25</v>
      </c>
      <c r="K19" s="27">
        <f t="shared" si="0"/>
        <v>2.4748737341529163</v>
      </c>
    </row>
    <row r="20" spans="1:11" x14ac:dyDescent="0.2">
      <c r="A20" s="30">
        <v>44328</v>
      </c>
      <c r="B20">
        <v>42</v>
      </c>
      <c r="C20">
        <v>68.7</v>
      </c>
      <c r="D20">
        <v>31</v>
      </c>
      <c r="H20">
        <v>72.099999999999994</v>
      </c>
      <c r="I20">
        <v>20.100000000000001</v>
      </c>
      <c r="J20">
        <f t="shared" si="1"/>
        <v>70.400000000000006</v>
      </c>
      <c r="K20" s="27">
        <f t="shared" si="0"/>
        <v>2.4041630560342555</v>
      </c>
    </row>
    <row r="21" spans="1:11" x14ac:dyDescent="0.2">
      <c r="A21" s="30">
        <v>44330</v>
      </c>
      <c r="B21">
        <v>44</v>
      </c>
      <c r="C21">
        <v>71.3</v>
      </c>
      <c r="D21">
        <v>27.3</v>
      </c>
      <c r="H21">
        <v>74.099999999999994</v>
      </c>
      <c r="I21">
        <v>24.5</v>
      </c>
      <c r="J21">
        <f t="shared" si="1"/>
        <v>72.699999999999989</v>
      </c>
      <c r="K21" s="27">
        <f t="shared" si="0"/>
        <v>1.9798989873223309</v>
      </c>
    </row>
    <row r="22" spans="1:11" x14ac:dyDescent="0.2">
      <c r="A22" s="30">
        <v>44333</v>
      </c>
      <c r="B22">
        <v>47</v>
      </c>
      <c r="C22">
        <v>74.400000000000006</v>
      </c>
      <c r="D22">
        <v>23.4</v>
      </c>
      <c r="H22">
        <v>73.099999999999994</v>
      </c>
      <c r="I22">
        <v>26.6</v>
      </c>
      <c r="J22">
        <f t="shared" si="1"/>
        <v>73.75</v>
      </c>
      <c r="K22" s="27">
        <f t="shared" si="0"/>
        <v>0.91923881554251985</v>
      </c>
    </row>
    <row r="23" spans="1:11" x14ac:dyDescent="0.2">
      <c r="A23" s="30">
        <v>44335</v>
      </c>
      <c r="B23">
        <v>49</v>
      </c>
      <c r="C23">
        <v>73.5</v>
      </c>
      <c r="D23">
        <v>25</v>
      </c>
      <c r="H23">
        <v>69.8</v>
      </c>
      <c r="I23">
        <v>29.3</v>
      </c>
      <c r="J23">
        <f t="shared" si="1"/>
        <v>71.650000000000006</v>
      </c>
      <c r="K23" s="27">
        <f t="shared" si="0"/>
        <v>2.6162950903902278</v>
      </c>
    </row>
    <row r="24" spans="1:11" x14ac:dyDescent="0.2">
      <c r="A24" s="30">
        <v>44337</v>
      </c>
      <c r="B24">
        <v>51</v>
      </c>
      <c r="C24">
        <v>70.900000000000006</v>
      </c>
      <c r="D24">
        <v>26.8</v>
      </c>
      <c r="H24">
        <v>68.900000000000006</v>
      </c>
      <c r="I24">
        <v>27.9</v>
      </c>
      <c r="J24">
        <f t="shared" si="1"/>
        <v>69.900000000000006</v>
      </c>
      <c r="K24" s="27">
        <f t="shared" si="0"/>
        <v>1.4142135623730951</v>
      </c>
    </row>
    <row r="25" spans="1:11" x14ac:dyDescent="0.2">
      <c r="A25" s="30">
        <v>44340</v>
      </c>
      <c r="B25">
        <v>54</v>
      </c>
      <c r="C25">
        <v>69.8</v>
      </c>
      <c r="D25">
        <v>28.9</v>
      </c>
      <c r="H25">
        <v>74.2</v>
      </c>
      <c r="I25">
        <v>25.3</v>
      </c>
      <c r="J25">
        <f t="shared" si="1"/>
        <v>72</v>
      </c>
      <c r="K25" s="27">
        <f t="shared" si="0"/>
        <v>3.1112698372208132</v>
      </c>
    </row>
    <row r="26" spans="1:11" x14ac:dyDescent="0.2">
      <c r="A26" s="30">
        <v>44342</v>
      </c>
      <c r="B26">
        <v>56</v>
      </c>
      <c r="C26">
        <v>70.900000000000006</v>
      </c>
      <c r="D26">
        <v>27.9</v>
      </c>
      <c r="H26">
        <v>68.599999999999994</v>
      </c>
      <c r="I26">
        <v>37.9</v>
      </c>
      <c r="J26">
        <f t="shared" si="1"/>
        <v>69.75</v>
      </c>
      <c r="K26" s="27">
        <f t="shared" si="0"/>
        <v>1.6263455967290674</v>
      </c>
    </row>
    <row r="27" spans="1:11" x14ac:dyDescent="0.2">
      <c r="A27" s="30">
        <v>44344</v>
      </c>
      <c r="B27">
        <v>58</v>
      </c>
      <c r="C27">
        <v>65.400000000000006</v>
      </c>
      <c r="D27">
        <v>44.1</v>
      </c>
      <c r="H27">
        <v>69.099999999999994</v>
      </c>
      <c r="I27">
        <v>35.799999999999997</v>
      </c>
      <c r="J27">
        <f t="shared" si="1"/>
        <v>67.25</v>
      </c>
      <c r="K27" s="27">
        <f t="shared" si="0"/>
        <v>2.616295090390218</v>
      </c>
    </row>
    <row r="28" spans="1:11" x14ac:dyDescent="0.2">
      <c r="A28" s="30">
        <v>44347</v>
      </c>
      <c r="B28">
        <v>61</v>
      </c>
      <c r="C28">
        <v>65.5</v>
      </c>
      <c r="D28">
        <v>34.4</v>
      </c>
      <c r="H28">
        <v>68.400000000000006</v>
      </c>
      <c r="I28">
        <v>27.4</v>
      </c>
      <c r="J28">
        <f t="shared" si="1"/>
        <v>66.95</v>
      </c>
      <c r="K28" s="27">
        <f t="shared" si="0"/>
        <v>2.0506096654409918</v>
      </c>
    </row>
    <row r="29" spans="1:11" x14ac:dyDescent="0.2">
      <c r="A29" s="30">
        <v>44349</v>
      </c>
      <c r="B29">
        <v>63</v>
      </c>
      <c r="C29">
        <v>70.099999999999994</v>
      </c>
      <c r="D29">
        <v>26.4</v>
      </c>
      <c r="H29">
        <v>64.900000000000006</v>
      </c>
      <c r="I29">
        <v>37.799999999999997</v>
      </c>
      <c r="J29">
        <f t="shared" si="1"/>
        <v>67.5</v>
      </c>
      <c r="K29" s="27">
        <f t="shared" si="0"/>
        <v>3.676955262170039</v>
      </c>
    </row>
    <row r="30" spans="1:11" x14ac:dyDescent="0.2">
      <c r="A30" s="30">
        <v>44351</v>
      </c>
      <c r="B30">
        <v>65</v>
      </c>
      <c r="C30">
        <v>67.8</v>
      </c>
      <c r="D30">
        <v>32</v>
      </c>
      <c r="H30">
        <v>67.099999999999994</v>
      </c>
      <c r="I30">
        <v>37.799999999999997</v>
      </c>
      <c r="J30">
        <f t="shared" si="1"/>
        <v>67.449999999999989</v>
      </c>
      <c r="K30" s="27">
        <f t="shared" si="0"/>
        <v>0.49497474683058529</v>
      </c>
    </row>
    <row r="31" spans="1:11" x14ac:dyDescent="0.2">
      <c r="A31" s="30">
        <v>44354</v>
      </c>
      <c r="B31">
        <v>68</v>
      </c>
      <c r="C31">
        <v>68.8</v>
      </c>
      <c r="D31">
        <v>29.6</v>
      </c>
      <c r="H31">
        <v>67.5</v>
      </c>
      <c r="I31">
        <v>37.5</v>
      </c>
      <c r="J31">
        <f t="shared" si="1"/>
        <v>68.150000000000006</v>
      </c>
      <c r="K31" s="27">
        <f t="shared" si="0"/>
        <v>0.91923881554250975</v>
      </c>
    </row>
    <row r="32" spans="1:11" x14ac:dyDescent="0.2">
      <c r="A32" s="30">
        <v>44356</v>
      </c>
      <c r="B32">
        <v>70</v>
      </c>
      <c r="C32">
        <v>65.5</v>
      </c>
      <c r="D32">
        <v>36.4</v>
      </c>
      <c r="H32">
        <v>66.400000000000006</v>
      </c>
      <c r="I32">
        <v>39.1</v>
      </c>
      <c r="J32">
        <f t="shared" si="1"/>
        <v>65.95</v>
      </c>
      <c r="K32" s="27">
        <f t="shared" si="0"/>
        <v>0.63639610306789685</v>
      </c>
    </row>
    <row r="33" spans="1:12" x14ac:dyDescent="0.2">
      <c r="A33" s="30">
        <v>44358</v>
      </c>
      <c r="B33">
        <v>72</v>
      </c>
      <c r="C33">
        <v>67.599999999999994</v>
      </c>
      <c r="D33">
        <v>66.2</v>
      </c>
      <c r="H33">
        <v>65.2</v>
      </c>
      <c r="I33">
        <v>34.4</v>
      </c>
      <c r="J33">
        <f t="shared" si="1"/>
        <v>66.400000000000006</v>
      </c>
      <c r="K33" s="27">
        <f t="shared" si="0"/>
        <v>1.697056274847708</v>
      </c>
    </row>
    <row r="34" spans="1:12" x14ac:dyDescent="0.2">
      <c r="A34" s="30">
        <v>44361</v>
      </c>
      <c r="B34">
        <v>75</v>
      </c>
      <c r="C34">
        <v>68.7</v>
      </c>
      <c r="D34">
        <v>42.3</v>
      </c>
      <c r="H34">
        <v>69.8</v>
      </c>
      <c r="I34">
        <v>26.5</v>
      </c>
      <c r="J34">
        <f t="shared" si="1"/>
        <v>69.25</v>
      </c>
      <c r="K34" s="27">
        <f t="shared" si="0"/>
        <v>0.7778174593051983</v>
      </c>
    </row>
    <row r="35" spans="1:12" x14ac:dyDescent="0.2">
      <c r="A35" s="30">
        <v>44363</v>
      </c>
      <c r="B35">
        <v>77</v>
      </c>
      <c r="C35">
        <v>65.3</v>
      </c>
      <c r="D35">
        <v>36.5</v>
      </c>
      <c r="H35">
        <v>66.3</v>
      </c>
      <c r="I35">
        <v>33.5</v>
      </c>
      <c r="J35">
        <f t="shared" si="1"/>
        <v>65.8</v>
      </c>
      <c r="K35" s="27">
        <f t="shared" si="0"/>
        <v>0.70710678118654757</v>
      </c>
    </row>
    <row r="36" spans="1:12" x14ac:dyDescent="0.2">
      <c r="A36" s="30">
        <v>44365</v>
      </c>
      <c r="B36">
        <v>79</v>
      </c>
      <c r="C36">
        <v>68</v>
      </c>
      <c r="D36">
        <v>31.5</v>
      </c>
      <c r="H36">
        <v>68.099999999999994</v>
      </c>
      <c r="I36">
        <v>33.5</v>
      </c>
      <c r="J36">
        <f t="shared" si="1"/>
        <v>68.05</v>
      </c>
      <c r="K36" s="27">
        <f t="shared" si="0"/>
        <v>7.0710678118650741E-2</v>
      </c>
    </row>
    <row r="37" spans="1:12" x14ac:dyDescent="0.2">
      <c r="A37" s="30">
        <v>44368</v>
      </c>
      <c r="B37">
        <v>82</v>
      </c>
      <c r="C37">
        <v>69.8</v>
      </c>
      <c r="D37">
        <v>29.5</v>
      </c>
      <c r="H37">
        <v>69.599999999999994</v>
      </c>
      <c r="I37">
        <v>29.4</v>
      </c>
      <c r="J37">
        <f t="shared" si="1"/>
        <v>69.699999999999989</v>
      </c>
      <c r="K37" s="27">
        <f t="shared" si="0"/>
        <v>0.14142135623731153</v>
      </c>
    </row>
    <row r="38" spans="1:12" x14ac:dyDescent="0.2">
      <c r="A38" s="30">
        <v>44370</v>
      </c>
      <c r="B38">
        <v>84</v>
      </c>
      <c r="C38">
        <v>64.8</v>
      </c>
      <c r="D38">
        <v>36</v>
      </c>
      <c r="H38">
        <v>65.599999999999994</v>
      </c>
      <c r="I38">
        <v>34.1</v>
      </c>
      <c r="J38">
        <f t="shared" si="1"/>
        <v>65.199999999999989</v>
      </c>
      <c r="K38" s="27">
        <f t="shared" si="0"/>
        <v>0.56568542494923602</v>
      </c>
    </row>
    <row r="39" spans="1:12" x14ac:dyDescent="0.2">
      <c r="A39" s="30">
        <v>44372</v>
      </c>
      <c r="B39">
        <v>86</v>
      </c>
      <c r="C39">
        <v>62.4</v>
      </c>
      <c r="D39">
        <v>37.299999999999997</v>
      </c>
      <c r="H39">
        <v>69.8</v>
      </c>
      <c r="I39">
        <v>29.7</v>
      </c>
      <c r="J39">
        <f t="shared" si="1"/>
        <v>66.099999999999994</v>
      </c>
      <c r="K39" s="27">
        <f t="shared" si="0"/>
        <v>5.2325901807804502</v>
      </c>
    </row>
    <row r="40" spans="1:12" x14ac:dyDescent="0.2">
      <c r="A40" s="30">
        <v>44375</v>
      </c>
      <c r="B40">
        <v>89</v>
      </c>
      <c r="C40">
        <v>69.599999999999994</v>
      </c>
      <c r="D40">
        <v>27.7</v>
      </c>
      <c r="H40">
        <v>70.8</v>
      </c>
      <c r="I40">
        <v>24.5</v>
      </c>
      <c r="J40">
        <f t="shared" si="1"/>
        <v>70.199999999999989</v>
      </c>
      <c r="K40" s="27">
        <f t="shared" si="0"/>
        <v>0.84852813742385902</v>
      </c>
    </row>
    <row r="41" spans="1:12" x14ac:dyDescent="0.2">
      <c r="A41" s="30">
        <v>44377</v>
      </c>
      <c r="B41">
        <v>91</v>
      </c>
      <c r="C41">
        <v>67.400000000000006</v>
      </c>
      <c r="D41">
        <v>32.200000000000003</v>
      </c>
      <c r="E41">
        <f>AVERAGE(C41:C55)</f>
        <v>61.539999999999992</v>
      </c>
      <c r="H41">
        <v>67.2</v>
      </c>
      <c r="I41">
        <v>32.200000000000003</v>
      </c>
      <c r="J41">
        <f t="shared" si="1"/>
        <v>67.300000000000011</v>
      </c>
      <c r="K41" s="27">
        <f t="shared" si="0"/>
        <v>0.14142135623731153</v>
      </c>
      <c r="L41">
        <f>AVERAGE(J41:J55)</f>
        <v>63.116666666666667</v>
      </c>
    </row>
    <row r="42" spans="1:12" x14ac:dyDescent="0.2">
      <c r="A42" s="30">
        <v>44379</v>
      </c>
      <c r="B42">
        <v>93</v>
      </c>
      <c r="C42">
        <v>65</v>
      </c>
      <c r="D42">
        <v>38.799999999999997</v>
      </c>
      <c r="H42">
        <v>66.5</v>
      </c>
      <c r="I42">
        <v>31</v>
      </c>
      <c r="J42">
        <f t="shared" si="1"/>
        <v>65.75</v>
      </c>
      <c r="K42" s="27">
        <f t="shared" si="0"/>
        <v>1.0606601717798212</v>
      </c>
    </row>
    <row r="43" spans="1:12" x14ac:dyDescent="0.2">
      <c r="A43" s="30">
        <v>44382</v>
      </c>
      <c r="B43">
        <v>96</v>
      </c>
      <c r="C43">
        <v>63.2</v>
      </c>
      <c r="D43">
        <v>42.1</v>
      </c>
      <c r="H43">
        <v>60.2</v>
      </c>
      <c r="I43">
        <v>39.6</v>
      </c>
      <c r="J43">
        <f t="shared" si="1"/>
        <v>61.7</v>
      </c>
      <c r="K43" s="27">
        <f t="shared" si="0"/>
        <v>2.1213203435596424</v>
      </c>
    </row>
    <row r="44" spans="1:12" x14ac:dyDescent="0.2">
      <c r="A44" s="30">
        <v>44384</v>
      </c>
      <c r="B44">
        <v>98</v>
      </c>
      <c r="C44">
        <v>62.8</v>
      </c>
      <c r="D44">
        <v>36.6</v>
      </c>
      <c r="H44">
        <v>61.1</v>
      </c>
      <c r="I44">
        <v>38.6</v>
      </c>
      <c r="J44">
        <f t="shared" si="1"/>
        <v>61.95</v>
      </c>
      <c r="K44" s="27">
        <f t="shared" si="0"/>
        <v>1.2020815280171278</v>
      </c>
    </row>
    <row r="45" spans="1:12" x14ac:dyDescent="0.2">
      <c r="A45" s="30">
        <v>44417</v>
      </c>
      <c r="B45">
        <v>100</v>
      </c>
      <c r="C45">
        <v>58.6</v>
      </c>
      <c r="D45">
        <v>43.1</v>
      </c>
      <c r="H45">
        <v>60.9</v>
      </c>
      <c r="I45">
        <v>39.9</v>
      </c>
      <c r="J45">
        <f t="shared" si="1"/>
        <v>59.75</v>
      </c>
      <c r="K45" s="27">
        <f t="shared" si="0"/>
        <v>1.6263455967290572</v>
      </c>
    </row>
    <row r="46" spans="1:12" x14ac:dyDescent="0.2">
      <c r="A46" s="30">
        <v>44419</v>
      </c>
      <c r="B46">
        <v>102</v>
      </c>
      <c r="C46">
        <v>66.400000000000006</v>
      </c>
      <c r="D46">
        <v>23.4</v>
      </c>
      <c r="H46">
        <v>70.099999999999994</v>
      </c>
      <c r="I46">
        <v>20.7</v>
      </c>
      <c r="J46">
        <f t="shared" si="1"/>
        <v>68.25</v>
      </c>
      <c r="K46" s="27">
        <f t="shared" si="0"/>
        <v>2.616295090390218</v>
      </c>
    </row>
    <row r="47" spans="1:12" x14ac:dyDescent="0.2">
      <c r="A47" s="30">
        <v>44421</v>
      </c>
      <c r="B47">
        <v>104</v>
      </c>
      <c r="C47">
        <v>68.400000000000006</v>
      </c>
      <c r="D47">
        <v>24.1</v>
      </c>
      <c r="H47">
        <v>71.2</v>
      </c>
      <c r="I47">
        <v>22.8</v>
      </c>
      <c r="J47">
        <f t="shared" si="1"/>
        <v>69.800000000000011</v>
      </c>
      <c r="K47" s="27">
        <f t="shared" si="0"/>
        <v>1.9798989873223309</v>
      </c>
    </row>
    <row r="48" spans="1:12" x14ac:dyDescent="0.2">
      <c r="A48" s="30">
        <v>44424</v>
      </c>
      <c r="B48">
        <v>107</v>
      </c>
      <c r="C48">
        <v>68.8</v>
      </c>
      <c r="D48">
        <v>26.6</v>
      </c>
      <c r="H48">
        <v>69.5</v>
      </c>
      <c r="I48">
        <v>29.7</v>
      </c>
      <c r="J48">
        <f t="shared" si="1"/>
        <v>69.150000000000006</v>
      </c>
      <c r="K48" s="27">
        <f t="shared" si="0"/>
        <v>0.49497474683058529</v>
      </c>
    </row>
    <row r="49" spans="1:12" x14ac:dyDescent="0.2">
      <c r="A49" s="30">
        <v>44426</v>
      </c>
      <c r="B49">
        <v>109</v>
      </c>
      <c r="C49">
        <v>59.2</v>
      </c>
      <c r="D49">
        <v>40.5</v>
      </c>
      <c r="H49">
        <v>64.3</v>
      </c>
      <c r="I49">
        <v>35.299999999999997</v>
      </c>
      <c r="J49">
        <f t="shared" si="1"/>
        <v>61.75</v>
      </c>
      <c r="K49" s="27">
        <f t="shared" si="0"/>
        <v>3.6062445840513884</v>
      </c>
    </row>
    <row r="50" spans="1:12" x14ac:dyDescent="0.2">
      <c r="A50" s="30">
        <v>44428</v>
      </c>
      <c r="B50">
        <v>111</v>
      </c>
      <c r="C50">
        <v>55.5</v>
      </c>
      <c r="D50">
        <v>44.2</v>
      </c>
      <c r="H50">
        <v>60.7</v>
      </c>
      <c r="I50">
        <v>36.5</v>
      </c>
      <c r="J50">
        <f t="shared" si="1"/>
        <v>58.1</v>
      </c>
      <c r="K50" s="27">
        <f t="shared" si="0"/>
        <v>3.6769552621700492</v>
      </c>
    </row>
    <row r="51" spans="1:12" x14ac:dyDescent="0.2">
      <c r="A51" s="30">
        <v>44431</v>
      </c>
      <c r="B51">
        <v>115</v>
      </c>
      <c r="C51">
        <v>61.4</v>
      </c>
      <c r="D51">
        <v>38.1</v>
      </c>
      <c r="H51">
        <v>65.900000000000006</v>
      </c>
      <c r="I51">
        <v>30.9</v>
      </c>
      <c r="J51">
        <f t="shared" si="1"/>
        <v>63.650000000000006</v>
      </c>
      <c r="K51" s="27">
        <f t="shared" si="0"/>
        <v>3.1819805153394687</v>
      </c>
    </row>
    <row r="52" spans="1:12" x14ac:dyDescent="0.2">
      <c r="A52" s="30">
        <v>44433</v>
      </c>
      <c r="B52">
        <v>117</v>
      </c>
      <c r="C52">
        <v>62.3</v>
      </c>
      <c r="D52">
        <v>37.4</v>
      </c>
      <c r="H52">
        <v>63.6</v>
      </c>
      <c r="I52">
        <v>37.4</v>
      </c>
      <c r="J52">
        <f t="shared" si="1"/>
        <v>62.95</v>
      </c>
      <c r="K52" s="27">
        <f t="shared" si="0"/>
        <v>0.91923881554251474</v>
      </c>
    </row>
    <row r="53" spans="1:12" x14ac:dyDescent="0.2">
      <c r="A53" s="30">
        <v>44435</v>
      </c>
      <c r="B53">
        <v>119</v>
      </c>
      <c r="C53">
        <v>53.5</v>
      </c>
      <c r="D53">
        <v>55.4</v>
      </c>
      <c r="H53">
        <v>64</v>
      </c>
      <c r="I53">
        <v>33.1</v>
      </c>
      <c r="J53">
        <f t="shared" si="1"/>
        <v>58.75</v>
      </c>
      <c r="K53" s="27">
        <f t="shared" si="0"/>
        <v>7.4246212024587486</v>
      </c>
    </row>
    <row r="54" spans="1:12" x14ac:dyDescent="0.2">
      <c r="A54" s="30">
        <v>44438</v>
      </c>
      <c r="B54">
        <v>122</v>
      </c>
      <c r="C54">
        <v>52.3</v>
      </c>
      <c r="D54">
        <v>43.2</v>
      </c>
      <c r="H54">
        <v>62.5</v>
      </c>
      <c r="I54">
        <v>35.5</v>
      </c>
      <c r="J54">
        <f t="shared" si="1"/>
        <v>57.4</v>
      </c>
      <c r="K54" s="27">
        <f t="shared" si="0"/>
        <v>7.2124891681027865</v>
      </c>
    </row>
    <row r="55" spans="1:12" x14ac:dyDescent="0.2">
      <c r="A55" s="30">
        <v>44440</v>
      </c>
      <c r="B55">
        <v>124</v>
      </c>
      <c r="C55">
        <v>58.3</v>
      </c>
      <c r="D55">
        <v>32.799999999999997</v>
      </c>
      <c r="E55">
        <f>AVERAGE(C55:C70)</f>
        <v>46.243749999999999</v>
      </c>
      <c r="H55">
        <v>62.7</v>
      </c>
      <c r="I55">
        <v>36.799999999999997</v>
      </c>
      <c r="J55">
        <f t="shared" si="1"/>
        <v>60.5</v>
      </c>
      <c r="K55" s="27">
        <f t="shared" si="0"/>
        <v>3.1112698372208132</v>
      </c>
      <c r="L55">
        <f>AVERAGE(I55:I70)</f>
        <v>44.849999999999994</v>
      </c>
    </row>
    <row r="56" spans="1:12" x14ac:dyDescent="0.2">
      <c r="A56" s="30">
        <v>44442</v>
      </c>
      <c r="B56">
        <v>126</v>
      </c>
      <c r="C56">
        <v>55.8</v>
      </c>
      <c r="D56">
        <v>61.8</v>
      </c>
      <c r="H56">
        <v>61.8</v>
      </c>
      <c r="I56">
        <v>35.4</v>
      </c>
      <c r="J56">
        <f t="shared" si="1"/>
        <v>58.8</v>
      </c>
      <c r="K56" s="27">
        <f t="shared" si="0"/>
        <v>4.2426406871192848</v>
      </c>
    </row>
    <row r="57" spans="1:12" x14ac:dyDescent="0.2">
      <c r="A57" s="30">
        <v>44445</v>
      </c>
      <c r="B57">
        <v>129</v>
      </c>
      <c r="C57">
        <v>56.2</v>
      </c>
      <c r="D57">
        <v>32.799999999999997</v>
      </c>
      <c r="H57">
        <v>59</v>
      </c>
      <c r="I57">
        <v>40.200000000000003</v>
      </c>
      <c r="J57">
        <f t="shared" si="1"/>
        <v>57.6</v>
      </c>
      <c r="K57" s="27">
        <f t="shared" si="0"/>
        <v>1.9798989873223309</v>
      </c>
    </row>
    <row r="58" spans="1:12" x14ac:dyDescent="0.2">
      <c r="A58" s="30">
        <v>44447</v>
      </c>
      <c r="B58">
        <v>131</v>
      </c>
      <c r="C58">
        <v>54.2</v>
      </c>
      <c r="D58">
        <v>43.3</v>
      </c>
      <c r="H58">
        <v>59.5</v>
      </c>
      <c r="I58">
        <v>38.5</v>
      </c>
      <c r="J58">
        <f t="shared" si="1"/>
        <v>56.85</v>
      </c>
      <c r="K58" s="27">
        <f t="shared" si="0"/>
        <v>3.7476659402886998</v>
      </c>
    </row>
    <row r="59" spans="1:12" x14ac:dyDescent="0.2">
      <c r="A59" s="30">
        <v>44449</v>
      </c>
      <c r="B59">
        <v>133</v>
      </c>
      <c r="C59">
        <v>53.3</v>
      </c>
      <c r="D59">
        <v>39</v>
      </c>
      <c r="H59">
        <v>57.7</v>
      </c>
      <c r="I59">
        <v>42</v>
      </c>
      <c r="J59">
        <f t="shared" si="1"/>
        <v>55.5</v>
      </c>
      <c r="K59" s="27">
        <f t="shared" si="0"/>
        <v>3.1112698372208132</v>
      </c>
    </row>
    <row r="60" spans="1:12" x14ac:dyDescent="0.2">
      <c r="A60" s="30">
        <v>44452</v>
      </c>
      <c r="B60">
        <v>136</v>
      </c>
      <c r="C60">
        <v>52.5</v>
      </c>
      <c r="D60">
        <v>36.799999999999997</v>
      </c>
      <c r="H60">
        <v>57.2</v>
      </c>
      <c r="I60">
        <v>42.5</v>
      </c>
      <c r="J60">
        <f t="shared" si="1"/>
        <v>54.85</v>
      </c>
      <c r="K60" s="27">
        <f t="shared" si="0"/>
        <v>3.3234018715767757</v>
      </c>
    </row>
    <row r="61" spans="1:12" x14ac:dyDescent="0.2">
      <c r="A61" s="30">
        <v>44454</v>
      </c>
      <c r="B61">
        <v>138</v>
      </c>
      <c r="C61">
        <v>50.9</v>
      </c>
      <c r="D61">
        <v>30.3</v>
      </c>
      <c r="H61">
        <v>54.1</v>
      </c>
      <c r="I61">
        <v>45.6</v>
      </c>
      <c r="J61">
        <f t="shared" si="1"/>
        <v>52.5</v>
      </c>
      <c r="K61" s="27">
        <f t="shared" si="0"/>
        <v>2.2627416997969543</v>
      </c>
    </row>
    <row r="62" spans="1:12" x14ac:dyDescent="0.2">
      <c r="A62" s="30">
        <v>44456</v>
      </c>
      <c r="B62">
        <v>140</v>
      </c>
      <c r="C62">
        <v>51.9</v>
      </c>
      <c r="D62">
        <v>31.1</v>
      </c>
      <c r="H62">
        <v>57.4</v>
      </c>
      <c r="I62">
        <v>40.700000000000003</v>
      </c>
      <c r="J62">
        <f t="shared" si="1"/>
        <v>54.65</v>
      </c>
      <c r="K62" s="27">
        <f t="shared" si="0"/>
        <v>3.8890872965260113</v>
      </c>
    </row>
    <row r="63" spans="1:12" x14ac:dyDescent="0.2">
      <c r="A63" s="30">
        <v>44459</v>
      </c>
      <c r="B63">
        <v>143</v>
      </c>
      <c r="C63">
        <v>53</v>
      </c>
      <c r="D63">
        <v>29.1</v>
      </c>
      <c r="H63">
        <v>59.6</v>
      </c>
      <c r="I63">
        <v>34.1</v>
      </c>
      <c r="J63">
        <f t="shared" si="1"/>
        <v>56.3</v>
      </c>
      <c r="K63" s="27">
        <f t="shared" si="0"/>
        <v>4.6669047558312142</v>
      </c>
    </row>
    <row r="64" spans="1:12" x14ac:dyDescent="0.2">
      <c r="A64" s="30">
        <v>44461</v>
      </c>
      <c r="B64">
        <v>145</v>
      </c>
      <c r="C64">
        <v>50.2</v>
      </c>
      <c r="D64">
        <v>32.200000000000003</v>
      </c>
      <c r="H64">
        <v>54.8</v>
      </c>
      <c r="I64">
        <v>37.5</v>
      </c>
      <c r="J64">
        <f t="shared" si="1"/>
        <v>52.5</v>
      </c>
      <c r="K64" s="27">
        <f t="shared" si="0"/>
        <v>3.2526911934581144</v>
      </c>
    </row>
    <row r="65" spans="1:11" x14ac:dyDescent="0.2">
      <c r="A65" s="30">
        <v>44463</v>
      </c>
      <c r="B65">
        <v>147</v>
      </c>
      <c r="C65">
        <v>47.6</v>
      </c>
      <c r="D65">
        <v>48</v>
      </c>
      <c r="H65">
        <v>49.8</v>
      </c>
      <c r="I65">
        <v>45.7</v>
      </c>
      <c r="J65">
        <f t="shared" si="1"/>
        <v>48.7</v>
      </c>
      <c r="K65" s="27">
        <f t="shared" si="0"/>
        <v>1.5556349186104015</v>
      </c>
    </row>
    <row r="66" spans="1:11" x14ac:dyDescent="0.2">
      <c r="A66" s="30">
        <v>44466</v>
      </c>
      <c r="B66">
        <v>150</v>
      </c>
      <c r="C66">
        <v>52.4</v>
      </c>
      <c r="D66">
        <v>42.1</v>
      </c>
      <c r="H66">
        <v>53.1</v>
      </c>
      <c r="I66">
        <v>38</v>
      </c>
      <c r="J66">
        <f t="shared" si="1"/>
        <v>52.75</v>
      </c>
      <c r="K66" s="27">
        <f t="shared" si="0"/>
        <v>0.49497474683058529</v>
      </c>
    </row>
    <row r="67" spans="1:11" x14ac:dyDescent="0.2">
      <c r="A67" s="30">
        <v>44468</v>
      </c>
      <c r="B67">
        <v>152</v>
      </c>
      <c r="C67">
        <v>53.2</v>
      </c>
      <c r="D67">
        <v>38.700000000000003</v>
      </c>
      <c r="H67">
        <v>53.2</v>
      </c>
      <c r="I67">
        <v>28.9</v>
      </c>
      <c r="J67">
        <f t="shared" ref="J67:J69" si="2">AVERAGE(C67,H67)</f>
        <v>53.2</v>
      </c>
      <c r="K67" s="27">
        <f t="shared" ref="K67:K69" si="3">_xlfn.STDEV.S(C67,H67)</f>
        <v>0</v>
      </c>
    </row>
    <row r="68" spans="1:11" x14ac:dyDescent="0.2">
      <c r="A68" s="30">
        <v>44470</v>
      </c>
      <c r="B68">
        <v>154</v>
      </c>
      <c r="C68">
        <v>18.8</v>
      </c>
      <c r="D68">
        <v>47.3</v>
      </c>
      <c r="H68">
        <v>17.8</v>
      </c>
      <c r="I68">
        <v>55.6</v>
      </c>
      <c r="J68">
        <f t="shared" si="2"/>
        <v>18.3</v>
      </c>
      <c r="K68" s="27">
        <f t="shared" si="3"/>
        <v>0.70710678118654757</v>
      </c>
    </row>
    <row r="69" spans="1:11" x14ac:dyDescent="0.2">
      <c r="A69" s="30">
        <v>44473</v>
      </c>
      <c r="B69">
        <v>156</v>
      </c>
      <c r="C69">
        <v>10.5</v>
      </c>
      <c r="D69">
        <v>67.7</v>
      </c>
      <c r="H69">
        <v>9.1</v>
      </c>
      <c r="I69">
        <v>85.8</v>
      </c>
      <c r="J69">
        <f t="shared" si="2"/>
        <v>9.8000000000000007</v>
      </c>
      <c r="K69" s="27">
        <f t="shared" si="3"/>
        <v>0.9899494936611668</v>
      </c>
    </row>
    <row r="70" spans="1:11" x14ac:dyDescent="0.2">
      <c r="A70" s="30">
        <v>44480</v>
      </c>
      <c r="B70">
        <v>158</v>
      </c>
      <c r="C70">
        <v>21.1</v>
      </c>
      <c r="D70">
        <v>74</v>
      </c>
      <c r="H70">
        <v>20.3</v>
      </c>
      <c r="I70">
        <v>70.3</v>
      </c>
    </row>
    <row r="71" spans="1:11" x14ac:dyDescent="0.2">
      <c r="A71" s="30">
        <v>44477</v>
      </c>
    </row>
    <row r="72" spans="1:11" x14ac:dyDescent="0.2">
      <c r="A72" s="30">
        <v>44479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71"/>
  <sheetViews>
    <sheetView zoomScale="140" zoomScaleNormal="140" workbookViewId="0">
      <pane xSplit="2" ySplit="2" topLeftCell="C3" activePane="bottomRight" state="frozen"/>
      <selection pane="topRight" activeCell="B1" sqref="B1"/>
      <selection pane="bottomLeft" activeCell="A4" sqref="A4"/>
      <selection pane="bottomRight" activeCell="Q70" sqref="Q70"/>
    </sheetView>
  </sheetViews>
  <sheetFormatPr baseColWidth="10" defaultColWidth="9.1640625" defaultRowHeight="15" x14ac:dyDescent="0.2"/>
  <cols>
    <col min="1" max="1" width="10.6640625" style="44" bestFit="1" customWidth="1"/>
    <col min="2" max="3" width="8" style="44" customWidth="1"/>
    <col min="4" max="4" width="8.33203125" style="44" customWidth="1"/>
    <col min="5" max="5" width="9.33203125" style="44" customWidth="1"/>
    <col min="6" max="6" width="7" style="44" customWidth="1"/>
    <col min="7" max="7" width="8.5" style="44" customWidth="1"/>
    <col min="8" max="8" width="6.5" style="44" customWidth="1"/>
    <col min="9" max="9" width="8.1640625" style="44" customWidth="1"/>
    <col min="10" max="10" width="8" style="44" customWidth="1"/>
    <col min="11" max="11" width="9.1640625" style="44" customWidth="1"/>
    <col min="12" max="12" width="8.6640625" style="44" customWidth="1"/>
    <col min="13" max="13" width="9.33203125" style="44" customWidth="1"/>
    <col min="14" max="15" width="9.5" style="44" customWidth="1"/>
    <col min="16" max="16" width="8.6640625" style="44" customWidth="1"/>
    <col min="17" max="17" width="9.5" style="44" customWidth="1"/>
    <col min="18" max="19" width="7.33203125" style="44" customWidth="1"/>
    <col min="20" max="21" width="8.5" style="44" customWidth="1"/>
    <col min="22" max="22" width="9.5" style="44" customWidth="1"/>
    <col min="23" max="16384" width="9.1640625" style="44"/>
  </cols>
  <sheetData>
    <row r="1" spans="1:35" ht="15" customHeight="1" x14ac:dyDescent="0.2">
      <c r="A1" s="56" t="s">
        <v>155</v>
      </c>
      <c r="B1" s="59" t="s">
        <v>57</v>
      </c>
      <c r="M1" s="45"/>
    </row>
    <row r="2" spans="1:35" ht="64" x14ac:dyDescent="0.2">
      <c r="A2" s="56"/>
      <c r="B2" s="59"/>
      <c r="C2" s="36" t="s">
        <v>45</v>
      </c>
      <c r="D2" s="45" t="s">
        <v>217</v>
      </c>
      <c r="E2" s="45" t="s">
        <v>218</v>
      </c>
      <c r="F2" s="45" t="s">
        <v>209</v>
      </c>
      <c r="G2" s="36" t="s">
        <v>210</v>
      </c>
      <c r="H2" s="45" t="s">
        <v>211</v>
      </c>
      <c r="I2" s="36" t="s">
        <v>212</v>
      </c>
      <c r="J2" s="36" t="s">
        <v>219</v>
      </c>
      <c r="K2" s="45" t="s">
        <v>213</v>
      </c>
      <c r="L2" s="36" t="s">
        <v>220</v>
      </c>
      <c r="M2" s="45" t="s">
        <v>214</v>
      </c>
      <c r="N2" s="36" t="s">
        <v>215</v>
      </c>
      <c r="O2" s="45" t="s">
        <v>216</v>
      </c>
      <c r="P2" s="36" t="s">
        <v>221</v>
      </c>
      <c r="Q2" s="45"/>
      <c r="R2" s="45"/>
      <c r="S2" s="45"/>
      <c r="T2" s="45"/>
      <c r="U2" s="36"/>
      <c r="V2" s="36"/>
    </row>
    <row r="3" spans="1:35" s="46" customFormat="1" x14ac:dyDescent="0.2">
      <c r="A3" s="30">
        <v>44286</v>
      </c>
      <c r="B3">
        <v>0</v>
      </c>
      <c r="C3">
        <v>7.05</v>
      </c>
      <c r="D3" s="45">
        <v>30</v>
      </c>
      <c r="E3" s="47">
        <v>0.1</v>
      </c>
      <c r="F3" s="47">
        <v>18</v>
      </c>
      <c r="G3" s="47">
        <f>AVERAGE(F3:F3)</f>
        <v>18</v>
      </c>
      <c r="H3" s="47">
        <v>16</v>
      </c>
      <c r="I3" s="47">
        <f>AVERAGE(H3:H3)</f>
        <v>16</v>
      </c>
      <c r="J3" s="47">
        <f>SUM(G3+I3)</f>
        <v>34</v>
      </c>
      <c r="K3" s="47">
        <f>((G3*E3)*50*1000)/D3</f>
        <v>3000</v>
      </c>
      <c r="L3" s="47">
        <f>AVERAGE(K3:K3)</f>
        <v>3000</v>
      </c>
      <c r="M3" s="47">
        <f>((I3*E3)*50*1000)/D3</f>
        <v>2666.6666666666665</v>
      </c>
      <c r="N3" s="47">
        <f>AVERAGE(M3:M3)</f>
        <v>2666.6666666666665</v>
      </c>
      <c r="O3" s="47">
        <f>((J3*E3)*50*1000)/D3</f>
        <v>5666.6666666666679</v>
      </c>
      <c r="P3" s="47">
        <f>AVERAGE(O3:O3)</f>
        <v>5666.6666666666679</v>
      </c>
      <c r="Q3" s="47"/>
      <c r="R3" s="47"/>
      <c r="S3" s="47"/>
      <c r="T3" s="47"/>
      <c r="U3" s="48"/>
      <c r="V3" s="47"/>
    </row>
    <row r="4" spans="1:35" ht="15" customHeight="1" x14ac:dyDescent="0.2">
      <c r="A4" s="30">
        <v>44288</v>
      </c>
      <c r="B4">
        <v>2</v>
      </c>
      <c r="C4">
        <v>7.2</v>
      </c>
      <c r="D4" s="45">
        <v>30</v>
      </c>
      <c r="E4" s="45">
        <v>0.1</v>
      </c>
      <c r="F4" s="47">
        <v>17.8</v>
      </c>
      <c r="G4" s="47">
        <f>AVERAGE(F4:F4)</f>
        <v>17.8</v>
      </c>
      <c r="H4" s="47">
        <v>16.8</v>
      </c>
      <c r="I4" s="49">
        <f>AVERAGE(H4:H4)</f>
        <v>16.8</v>
      </c>
      <c r="J4" s="47">
        <f>SUM(G4+I4)</f>
        <v>34.6</v>
      </c>
      <c r="K4" s="47">
        <f>((G4*E4)*50*1000)/D4</f>
        <v>2966.666666666667</v>
      </c>
      <c r="L4" s="47">
        <f>AVERAGE(K4:K4)</f>
        <v>2966.666666666667</v>
      </c>
      <c r="M4" s="47">
        <f>((I4*E4)*50*1000)/D4</f>
        <v>2800.0000000000005</v>
      </c>
      <c r="N4" s="47">
        <f>AVERAGE(M4:M4)</f>
        <v>2800.0000000000005</v>
      </c>
      <c r="O4" s="47">
        <f>((J4*E4)*50*1000)/D4</f>
        <v>5766.6666666666679</v>
      </c>
      <c r="P4" s="47">
        <f>AVERAGE(O4:O4)</f>
        <v>5766.6666666666679</v>
      </c>
      <c r="Q4" s="47"/>
      <c r="R4" s="47"/>
      <c r="S4" s="47"/>
      <c r="T4" s="47"/>
      <c r="U4" s="50"/>
      <c r="V4" s="47"/>
      <c r="X4" s="60"/>
      <c r="Y4" s="61"/>
      <c r="Z4" s="61"/>
      <c r="AA4" s="61"/>
      <c r="AB4" s="61"/>
      <c r="AC4" s="61"/>
      <c r="AD4" s="61"/>
      <c r="AE4" s="61"/>
      <c r="AF4" s="61"/>
      <c r="AG4" s="62"/>
    </row>
    <row r="5" spans="1:35" x14ac:dyDescent="0.2">
      <c r="A5" s="30">
        <v>44291</v>
      </c>
      <c r="B5">
        <v>5</v>
      </c>
      <c r="C5">
        <v>7.1</v>
      </c>
      <c r="D5" s="45">
        <v>30</v>
      </c>
      <c r="E5" s="45">
        <v>0.1</v>
      </c>
      <c r="F5" s="47">
        <v>17.2</v>
      </c>
      <c r="G5" s="47">
        <f>AVERAGE(F5:F5)</f>
        <v>17.2</v>
      </c>
      <c r="H5" s="44">
        <v>17</v>
      </c>
      <c r="I5" s="49">
        <f>AVERAGE(H5:H5)</f>
        <v>17</v>
      </c>
      <c r="J5" s="49">
        <f>SUM(G5+I5)</f>
        <v>34.200000000000003</v>
      </c>
      <c r="K5" s="47">
        <f>((G5*E5)*50*1000)/D5</f>
        <v>2866.6666666666665</v>
      </c>
      <c r="L5" s="47">
        <f>AVERAGE(K5:K5)</f>
        <v>2866.6666666666665</v>
      </c>
      <c r="M5" s="47">
        <f>((I5*E5)*50*1000)/D5</f>
        <v>2833.3333333333339</v>
      </c>
      <c r="N5" s="47">
        <f>AVERAGE(M5:M5)</f>
        <v>2833.3333333333339</v>
      </c>
      <c r="O5" s="47">
        <f>((J5*E5)*50*1000)/D5</f>
        <v>5700.0000000000009</v>
      </c>
      <c r="P5" s="47">
        <f>AVERAGE(O5:O5)</f>
        <v>5700.0000000000009</v>
      </c>
      <c r="AH5" s="51"/>
      <c r="AI5" s="51"/>
    </row>
    <row r="6" spans="1:35" x14ac:dyDescent="0.2">
      <c r="A6" s="30">
        <v>44293</v>
      </c>
      <c r="B6">
        <v>7</v>
      </c>
      <c r="C6">
        <v>7.1</v>
      </c>
      <c r="D6" s="45">
        <v>30</v>
      </c>
      <c r="E6" s="45">
        <v>0.1</v>
      </c>
      <c r="F6" s="44">
        <v>17.399999999999999</v>
      </c>
      <c r="G6" s="47">
        <f t="shared" ref="G6:G69" si="0">AVERAGE(F6:F6)</f>
        <v>17.399999999999999</v>
      </c>
      <c r="H6" s="44">
        <v>17</v>
      </c>
      <c r="I6" s="49">
        <f t="shared" ref="I6:I69" si="1">AVERAGE(H6:H6)</f>
        <v>17</v>
      </c>
      <c r="J6" s="49">
        <f t="shared" ref="J6:J69" si="2">SUM(G6+I6)</f>
        <v>34.4</v>
      </c>
      <c r="K6" s="47">
        <f t="shared" ref="K6:K69" si="3">((G6*E6)*50*1000)/D6</f>
        <v>2900</v>
      </c>
      <c r="L6" s="47">
        <f t="shared" ref="L6:L69" si="4">AVERAGE(K6:K6)</f>
        <v>2900</v>
      </c>
      <c r="M6" s="47">
        <f t="shared" ref="M6:M69" si="5">((I6*E6)*50*1000)/D6</f>
        <v>2833.3333333333339</v>
      </c>
      <c r="N6" s="47">
        <f t="shared" ref="N6:N69" si="6">AVERAGE(M6:M6)</f>
        <v>2833.3333333333339</v>
      </c>
      <c r="O6" s="47">
        <f t="shared" ref="O6:O69" si="7">((J6*E6)*50*1000)/D6</f>
        <v>5733.333333333333</v>
      </c>
      <c r="P6" s="47">
        <f t="shared" ref="P6:P69" si="8">AVERAGE(O6:O6)</f>
        <v>5733.333333333333</v>
      </c>
      <c r="AH6" s="51"/>
      <c r="AI6" s="51"/>
    </row>
    <row r="7" spans="1:35" x14ac:dyDescent="0.2">
      <c r="A7" s="30">
        <v>44295</v>
      </c>
      <c r="B7">
        <v>9</v>
      </c>
      <c r="C7">
        <v>7.1</v>
      </c>
      <c r="D7" s="45">
        <v>30</v>
      </c>
      <c r="E7" s="45">
        <v>0.1</v>
      </c>
      <c r="F7" s="44">
        <v>18</v>
      </c>
      <c r="G7" s="47">
        <f t="shared" si="0"/>
        <v>18</v>
      </c>
      <c r="H7" s="44">
        <v>17.2</v>
      </c>
      <c r="I7" s="49">
        <f t="shared" si="1"/>
        <v>17.2</v>
      </c>
      <c r="J7" s="49">
        <f t="shared" si="2"/>
        <v>35.200000000000003</v>
      </c>
      <c r="K7" s="47">
        <f t="shared" si="3"/>
        <v>3000</v>
      </c>
      <c r="L7" s="47">
        <f t="shared" si="4"/>
        <v>3000</v>
      </c>
      <c r="M7" s="47">
        <f t="shared" si="5"/>
        <v>2866.6666666666665</v>
      </c>
      <c r="N7" s="47">
        <f t="shared" si="6"/>
        <v>2866.6666666666665</v>
      </c>
      <c r="O7" s="47">
        <f t="shared" si="7"/>
        <v>5866.6666666666679</v>
      </c>
      <c r="P7" s="47">
        <f t="shared" si="8"/>
        <v>5866.6666666666679</v>
      </c>
      <c r="AH7" s="51"/>
      <c r="AI7" s="51"/>
    </row>
    <row r="8" spans="1:35" x14ac:dyDescent="0.2">
      <c r="A8" s="30">
        <v>44298</v>
      </c>
      <c r="B8">
        <v>12</v>
      </c>
      <c r="C8">
        <v>7.1</v>
      </c>
      <c r="D8" s="45">
        <v>30</v>
      </c>
      <c r="E8" s="45">
        <v>0.1</v>
      </c>
      <c r="F8" s="44">
        <v>18</v>
      </c>
      <c r="G8" s="47">
        <f>AVERAGE(F8:F8)</f>
        <v>18</v>
      </c>
      <c r="H8" s="44">
        <v>17</v>
      </c>
      <c r="I8" s="49">
        <f t="shared" si="1"/>
        <v>17</v>
      </c>
      <c r="J8" s="49">
        <f t="shared" si="2"/>
        <v>35</v>
      </c>
      <c r="K8" s="47">
        <f t="shared" si="3"/>
        <v>3000</v>
      </c>
      <c r="L8" s="47">
        <f t="shared" si="4"/>
        <v>3000</v>
      </c>
      <c r="M8" s="47">
        <f t="shared" si="5"/>
        <v>2833.3333333333339</v>
      </c>
      <c r="N8" s="47">
        <f t="shared" si="6"/>
        <v>2833.3333333333339</v>
      </c>
      <c r="O8" s="47">
        <f t="shared" si="7"/>
        <v>5833.333333333333</v>
      </c>
      <c r="P8" s="47">
        <f t="shared" si="8"/>
        <v>5833.333333333333</v>
      </c>
      <c r="AH8" s="51"/>
      <c r="AI8" s="51"/>
    </row>
    <row r="9" spans="1:35" x14ac:dyDescent="0.2">
      <c r="A9" s="30">
        <v>44300</v>
      </c>
      <c r="B9">
        <v>14</v>
      </c>
      <c r="C9">
        <v>7.1</v>
      </c>
      <c r="D9" s="45">
        <v>30</v>
      </c>
      <c r="E9" s="45">
        <v>0.1</v>
      </c>
      <c r="F9" s="44">
        <v>17.3</v>
      </c>
      <c r="G9" s="47">
        <f t="shared" si="0"/>
        <v>17.3</v>
      </c>
      <c r="H9" s="44">
        <v>16</v>
      </c>
      <c r="I9" s="49">
        <f t="shared" si="1"/>
        <v>16</v>
      </c>
      <c r="J9" s="49">
        <f t="shared" si="2"/>
        <v>33.299999999999997</v>
      </c>
      <c r="K9" s="47">
        <f t="shared" si="3"/>
        <v>2883.3333333333339</v>
      </c>
      <c r="L9" s="47">
        <f t="shared" si="4"/>
        <v>2883.3333333333339</v>
      </c>
      <c r="M9" s="47">
        <f t="shared" si="5"/>
        <v>2666.6666666666665</v>
      </c>
      <c r="N9" s="47">
        <f t="shared" si="6"/>
        <v>2666.6666666666665</v>
      </c>
      <c r="O9" s="47">
        <f t="shared" si="7"/>
        <v>5550</v>
      </c>
      <c r="P9" s="47">
        <f t="shared" si="8"/>
        <v>5550</v>
      </c>
      <c r="AH9" s="51"/>
      <c r="AI9" s="51"/>
    </row>
    <row r="10" spans="1:35" x14ac:dyDescent="0.2">
      <c r="A10" s="30">
        <v>44302</v>
      </c>
      <c r="B10">
        <v>16</v>
      </c>
      <c r="C10">
        <v>7</v>
      </c>
      <c r="D10" s="45">
        <v>30</v>
      </c>
      <c r="E10" s="45">
        <v>0.1</v>
      </c>
      <c r="F10" s="44">
        <v>17.600000000000001</v>
      </c>
      <c r="G10" s="47">
        <f>AVERAGE(F10:F10)</f>
        <v>17.600000000000001</v>
      </c>
      <c r="H10" s="44">
        <v>18</v>
      </c>
      <c r="I10" s="49">
        <f t="shared" si="1"/>
        <v>18</v>
      </c>
      <c r="J10" s="49">
        <f t="shared" si="2"/>
        <v>35.6</v>
      </c>
      <c r="K10" s="47">
        <f t="shared" si="3"/>
        <v>2933.3333333333339</v>
      </c>
      <c r="L10" s="47">
        <f t="shared" si="4"/>
        <v>2933.3333333333339</v>
      </c>
      <c r="M10" s="47">
        <f t="shared" si="5"/>
        <v>3000</v>
      </c>
      <c r="N10" s="47">
        <f t="shared" si="6"/>
        <v>3000</v>
      </c>
      <c r="O10" s="47">
        <f t="shared" si="7"/>
        <v>5933.3333333333339</v>
      </c>
      <c r="P10" s="47">
        <f t="shared" si="8"/>
        <v>5933.3333333333339</v>
      </c>
      <c r="AH10" s="51"/>
      <c r="AI10" s="51"/>
    </row>
    <row r="11" spans="1:35" ht="15" customHeight="1" x14ac:dyDescent="0.2">
      <c r="A11" s="30">
        <v>44305</v>
      </c>
      <c r="B11">
        <v>19</v>
      </c>
      <c r="C11">
        <v>7.1</v>
      </c>
      <c r="D11" s="45">
        <v>30</v>
      </c>
      <c r="E11" s="45">
        <v>0.1</v>
      </c>
      <c r="F11" s="44">
        <v>18.2</v>
      </c>
      <c r="G11" s="47">
        <f t="shared" si="0"/>
        <v>18.2</v>
      </c>
      <c r="H11" s="44">
        <v>17.5</v>
      </c>
      <c r="I11" s="49">
        <f t="shared" si="1"/>
        <v>17.5</v>
      </c>
      <c r="J11" s="49">
        <f t="shared" si="2"/>
        <v>35.700000000000003</v>
      </c>
      <c r="K11" s="47">
        <f t="shared" si="3"/>
        <v>3033.3333333333335</v>
      </c>
      <c r="L11" s="47">
        <f t="shared" si="4"/>
        <v>3033.3333333333335</v>
      </c>
      <c r="M11" s="47">
        <f t="shared" si="5"/>
        <v>2916.6666666666665</v>
      </c>
      <c r="N11" s="47">
        <f t="shared" si="6"/>
        <v>2916.6666666666665</v>
      </c>
      <c r="O11" s="47">
        <f t="shared" si="7"/>
        <v>5950</v>
      </c>
      <c r="P11" s="47">
        <f t="shared" si="8"/>
        <v>5950</v>
      </c>
    </row>
    <row r="12" spans="1:35" ht="15" customHeight="1" x14ac:dyDescent="0.2">
      <c r="A12" s="30">
        <v>44307</v>
      </c>
      <c r="B12">
        <v>21</v>
      </c>
      <c r="C12">
        <v>7.1</v>
      </c>
      <c r="D12" s="45">
        <v>30</v>
      </c>
      <c r="E12" s="45">
        <v>0.1</v>
      </c>
      <c r="F12" s="44">
        <v>18</v>
      </c>
      <c r="G12" s="47">
        <f t="shared" si="0"/>
        <v>18</v>
      </c>
      <c r="H12" s="44">
        <v>15</v>
      </c>
      <c r="I12" s="49">
        <f t="shared" si="1"/>
        <v>15</v>
      </c>
      <c r="J12" s="49">
        <f t="shared" si="2"/>
        <v>33</v>
      </c>
      <c r="K12" s="47">
        <f t="shared" si="3"/>
        <v>3000</v>
      </c>
      <c r="L12" s="47">
        <f t="shared" si="4"/>
        <v>3000</v>
      </c>
      <c r="M12" s="47">
        <f t="shared" si="5"/>
        <v>2500</v>
      </c>
      <c r="N12" s="47">
        <f t="shared" si="6"/>
        <v>2500</v>
      </c>
      <c r="O12" s="47">
        <f t="shared" si="7"/>
        <v>5500</v>
      </c>
      <c r="P12" s="47">
        <f t="shared" si="8"/>
        <v>5500</v>
      </c>
    </row>
    <row r="13" spans="1:35" ht="15" customHeight="1" x14ac:dyDescent="0.2">
      <c r="A13" s="30">
        <v>44309</v>
      </c>
      <c r="B13">
        <v>23</v>
      </c>
      <c r="C13">
        <v>7.05</v>
      </c>
      <c r="D13" s="45">
        <v>30</v>
      </c>
      <c r="E13" s="45">
        <v>0.1</v>
      </c>
      <c r="F13" s="44">
        <v>16</v>
      </c>
      <c r="G13" s="47">
        <f t="shared" si="0"/>
        <v>16</v>
      </c>
      <c r="H13" s="44">
        <v>15.2</v>
      </c>
      <c r="I13" s="49">
        <f t="shared" si="1"/>
        <v>15.2</v>
      </c>
      <c r="J13" s="49">
        <f t="shared" si="2"/>
        <v>31.2</v>
      </c>
      <c r="K13" s="47">
        <f t="shared" si="3"/>
        <v>2666.6666666666665</v>
      </c>
      <c r="L13" s="47">
        <f t="shared" si="4"/>
        <v>2666.6666666666665</v>
      </c>
      <c r="M13" s="47">
        <f t="shared" si="5"/>
        <v>2533.3333333333335</v>
      </c>
      <c r="N13" s="47">
        <f t="shared" si="6"/>
        <v>2533.3333333333335</v>
      </c>
      <c r="O13" s="47">
        <f t="shared" si="7"/>
        <v>5200</v>
      </c>
      <c r="P13" s="47">
        <f t="shared" si="8"/>
        <v>5200</v>
      </c>
    </row>
    <row r="14" spans="1:35" ht="15" customHeight="1" x14ac:dyDescent="0.2">
      <c r="A14" s="30">
        <v>44312</v>
      </c>
      <c r="B14">
        <v>26</v>
      </c>
      <c r="C14">
        <v>7.1</v>
      </c>
      <c r="D14" s="45">
        <v>30</v>
      </c>
      <c r="E14" s="45">
        <v>0.1</v>
      </c>
      <c r="F14" s="44">
        <v>17</v>
      </c>
      <c r="G14" s="47">
        <f t="shared" si="0"/>
        <v>17</v>
      </c>
      <c r="H14" s="44">
        <v>15.7</v>
      </c>
      <c r="I14" s="49">
        <f t="shared" si="1"/>
        <v>15.7</v>
      </c>
      <c r="J14" s="49">
        <f t="shared" si="2"/>
        <v>32.700000000000003</v>
      </c>
      <c r="K14" s="47">
        <f t="shared" si="3"/>
        <v>2833.3333333333339</v>
      </c>
      <c r="L14" s="47">
        <f t="shared" si="4"/>
        <v>2833.3333333333339</v>
      </c>
      <c r="M14" s="47">
        <f t="shared" si="5"/>
        <v>2616.6666666666665</v>
      </c>
      <c r="N14" s="47">
        <f t="shared" si="6"/>
        <v>2616.6666666666665</v>
      </c>
      <c r="O14" s="47">
        <f t="shared" si="7"/>
        <v>5450.0000000000009</v>
      </c>
      <c r="P14" s="47">
        <f t="shared" si="8"/>
        <v>5450.0000000000009</v>
      </c>
    </row>
    <row r="15" spans="1:35" ht="15" customHeight="1" x14ac:dyDescent="0.2">
      <c r="A15" s="30">
        <v>44314</v>
      </c>
      <c r="B15">
        <v>28</v>
      </c>
      <c r="C15">
        <v>7.05</v>
      </c>
      <c r="D15" s="45">
        <v>30</v>
      </c>
      <c r="E15" s="45">
        <v>0.1</v>
      </c>
      <c r="F15" s="44">
        <v>18</v>
      </c>
      <c r="G15" s="47">
        <f t="shared" si="0"/>
        <v>18</v>
      </c>
      <c r="H15" s="44">
        <v>16</v>
      </c>
      <c r="I15" s="49">
        <f t="shared" si="1"/>
        <v>16</v>
      </c>
      <c r="J15" s="49">
        <f t="shared" si="2"/>
        <v>34</v>
      </c>
      <c r="K15" s="47">
        <f t="shared" si="3"/>
        <v>3000</v>
      </c>
      <c r="L15" s="47">
        <f t="shared" si="4"/>
        <v>3000</v>
      </c>
      <c r="M15" s="47">
        <f t="shared" si="5"/>
        <v>2666.6666666666665</v>
      </c>
      <c r="N15" s="47">
        <f t="shared" si="6"/>
        <v>2666.6666666666665</v>
      </c>
      <c r="O15" s="47">
        <f t="shared" si="7"/>
        <v>5666.6666666666679</v>
      </c>
      <c r="P15" s="47">
        <f t="shared" si="8"/>
        <v>5666.6666666666679</v>
      </c>
    </row>
    <row r="16" spans="1:35" ht="15" customHeight="1" x14ac:dyDescent="0.2">
      <c r="A16" s="30">
        <v>44316</v>
      </c>
      <c r="B16">
        <v>30</v>
      </c>
      <c r="C16">
        <v>7.05</v>
      </c>
      <c r="D16" s="45">
        <v>30</v>
      </c>
      <c r="E16" s="45">
        <v>0.1</v>
      </c>
      <c r="F16" s="44">
        <v>18</v>
      </c>
      <c r="G16" s="47">
        <f t="shared" si="0"/>
        <v>18</v>
      </c>
      <c r="H16" s="44">
        <v>15</v>
      </c>
      <c r="I16" s="49">
        <f t="shared" si="1"/>
        <v>15</v>
      </c>
      <c r="J16" s="49">
        <f t="shared" si="2"/>
        <v>33</v>
      </c>
      <c r="K16" s="47">
        <f t="shared" si="3"/>
        <v>3000</v>
      </c>
      <c r="L16" s="47">
        <f t="shared" si="4"/>
        <v>3000</v>
      </c>
      <c r="M16" s="47">
        <f t="shared" si="5"/>
        <v>2500</v>
      </c>
      <c r="N16" s="47">
        <f t="shared" si="6"/>
        <v>2500</v>
      </c>
      <c r="O16" s="47">
        <f t="shared" si="7"/>
        <v>5500</v>
      </c>
      <c r="P16" s="47">
        <f t="shared" si="8"/>
        <v>5500</v>
      </c>
    </row>
    <row r="17" spans="1:35" ht="15" customHeight="1" x14ac:dyDescent="0.2">
      <c r="A17" s="30">
        <v>44319</v>
      </c>
      <c r="B17">
        <v>33</v>
      </c>
      <c r="C17">
        <v>7.1</v>
      </c>
      <c r="D17" s="45">
        <v>30</v>
      </c>
      <c r="E17" s="45">
        <v>0.1</v>
      </c>
      <c r="F17" s="44">
        <v>18.399999999999999</v>
      </c>
      <c r="G17" s="47">
        <f t="shared" si="0"/>
        <v>18.399999999999999</v>
      </c>
      <c r="H17" s="44">
        <v>15.3</v>
      </c>
      <c r="I17" s="49">
        <f t="shared" si="1"/>
        <v>15.3</v>
      </c>
      <c r="J17" s="49">
        <f t="shared" si="2"/>
        <v>33.700000000000003</v>
      </c>
      <c r="K17" s="47">
        <f t="shared" si="3"/>
        <v>3066.6666666666665</v>
      </c>
      <c r="L17" s="47">
        <f t="shared" si="4"/>
        <v>3066.6666666666665</v>
      </c>
      <c r="M17" s="47">
        <f t="shared" si="5"/>
        <v>2550.0000000000005</v>
      </c>
      <c r="N17" s="47">
        <f t="shared" si="6"/>
        <v>2550.0000000000005</v>
      </c>
      <c r="O17" s="47">
        <f t="shared" si="7"/>
        <v>5616.6666666666679</v>
      </c>
      <c r="P17" s="47">
        <f t="shared" si="8"/>
        <v>5616.6666666666679</v>
      </c>
      <c r="AH17" s="51"/>
      <c r="AI17" s="51"/>
    </row>
    <row r="18" spans="1:35" ht="15" customHeight="1" x14ac:dyDescent="0.2">
      <c r="A18" s="30">
        <v>44321</v>
      </c>
      <c r="B18">
        <v>35</v>
      </c>
      <c r="C18">
        <v>7.1</v>
      </c>
      <c r="D18" s="45">
        <v>30</v>
      </c>
      <c r="E18" s="45">
        <v>0.1</v>
      </c>
      <c r="F18" s="44">
        <v>17.8</v>
      </c>
      <c r="G18" s="47">
        <f t="shared" si="0"/>
        <v>17.8</v>
      </c>
      <c r="H18" s="44">
        <v>15.7</v>
      </c>
      <c r="I18" s="49">
        <f t="shared" si="1"/>
        <v>15.7</v>
      </c>
      <c r="J18" s="49">
        <f t="shared" si="2"/>
        <v>33.5</v>
      </c>
      <c r="K18" s="47">
        <f t="shared" si="3"/>
        <v>2966.666666666667</v>
      </c>
      <c r="L18" s="47">
        <f t="shared" si="4"/>
        <v>2966.666666666667</v>
      </c>
      <c r="M18" s="47">
        <f t="shared" si="5"/>
        <v>2616.6666666666665</v>
      </c>
      <c r="N18" s="47">
        <f t="shared" si="6"/>
        <v>2616.6666666666665</v>
      </c>
      <c r="O18" s="47">
        <f t="shared" si="7"/>
        <v>5583.333333333333</v>
      </c>
      <c r="P18" s="47">
        <f t="shared" si="8"/>
        <v>5583.333333333333</v>
      </c>
      <c r="AH18" s="51"/>
      <c r="AI18" s="51"/>
    </row>
    <row r="19" spans="1:35" ht="15" customHeight="1" x14ac:dyDescent="0.2">
      <c r="A19" s="30">
        <v>44323</v>
      </c>
      <c r="B19">
        <v>37</v>
      </c>
      <c r="C19">
        <v>7</v>
      </c>
      <c r="D19" s="45">
        <v>30</v>
      </c>
      <c r="E19" s="45">
        <v>0.1</v>
      </c>
      <c r="F19" s="44">
        <v>18</v>
      </c>
      <c r="G19" s="47">
        <f t="shared" si="0"/>
        <v>18</v>
      </c>
      <c r="H19" s="44">
        <v>14.6</v>
      </c>
      <c r="I19" s="49">
        <f t="shared" si="1"/>
        <v>14.6</v>
      </c>
      <c r="J19" s="49">
        <f t="shared" si="2"/>
        <v>32.6</v>
      </c>
      <c r="K19" s="47">
        <f t="shared" si="3"/>
        <v>3000</v>
      </c>
      <c r="L19" s="47">
        <f t="shared" si="4"/>
        <v>3000</v>
      </c>
      <c r="M19" s="47">
        <f t="shared" si="5"/>
        <v>2433.3333333333335</v>
      </c>
      <c r="N19" s="47">
        <f t="shared" si="6"/>
        <v>2433.3333333333335</v>
      </c>
      <c r="O19" s="47">
        <f t="shared" si="7"/>
        <v>5433.333333333333</v>
      </c>
      <c r="P19" s="47">
        <f t="shared" si="8"/>
        <v>5433.333333333333</v>
      </c>
      <c r="AH19" s="51"/>
      <c r="AI19" s="51"/>
    </row>
    <row r="20" spans="1:35" ht="15" customHeight="1" x14ac:dyDescent="0.2">
      <c r="A20" s="30">
        <v>44326</v>
      </c>
      <c r="B20">
        <v>40</v>
      </c>
      <c r="C20">
        <v>7.1</v>
      </c>
      <c r="D20" s="45">
        <v>30</v>
      </c>
      <c r="E20" s="45">
        <v>0.1</v>
      </c>
      <c r="F20" s="44">
        <v>18.100000000000001</v>
      </c>
      <c r="G20" s="47">
        <f t="shared" si="0"/>
        <v>18.100000000000001</v>
      </c>
      <c r="H20" s="44">
        <v>15</v>
      </c>
      <c r="I20" s="49">
        <f t="shared" si="1"/>
        <v>15</v>
      </c>
      <c r="J20" s="49">
        <f t="shared" si="2"/>
        <v>33.1</v>
      </c>
      <c r="K20" s="47">
        <f t="shared" si="3"/>
        <v>3016.666666666667</v>
      </c>
      <c r="L20" s="47">
        <f t="shared" si="4"/>
        <v>3016.666666666667</v>
      </c>
      <c r="M20" s="47">
        <f t="shared" si="5"/>
        <v>2500</v>
      </c>
      <c r="N20" s="47">
        <f t="shared" si="6"/>
        <v>2500</v>
      </c>
      <c r="O20" s="47">
        <f t="shared" si="7"/>
        <v>5516.6666666666679</v>
      </c>
      <c r="P20" s="47">
        <f t="shared" si="8"/>
        <v>5516.6666666666679</v>
      </c>
      <c r="AH20" s="51"/>
      <c r="AI20" s="51"/>
    </row>
    <row r="21" spans="1:35" x14ac:dyDescent="0.2">
      <c r="A21" s="30">
        <v>44328</v>
      </c>
      <c r="B21">
        <v>42</v>
      </c>
      <c r="C21">
        <v>7.2</v>
      </c>
      <c r="D21" s="45">
        <v>30</v>
      </c>
      <c r="E21" s="45">
        <v>0.1</v>
      </c>
      <c r="F21" s="44">
        <v>18.399999999999999</v>
      </c>
      <c r="G21" s="47">
        <f t="shared" si="0"/>
        <v>18.399999999999999</v>
      </c>
      <c r="H21" s="44">
        <v>13.5</v>
      </c>
      <c r="I21" s="49">
        <f t="shared" si="1"/>
        <v>13.5</v>
      </c>
      <c r="J21" s="49">
        <f t="shared" si="2"/>
        <v>31.9</v>
      </c>
      <c r="K21" s="47">
        <f t="shared" si="3"/>
        <v>3066.6666666666665</v>
      </c>
      <c r="L21" s="47">
        <f t="shared" si="4"/>
        <v>3066.6666666666665</v>
      </c>
      <c r="M21" s="47">
        <f t="shared" si="5"/>
        <v>2250</v>
      </c>
      <c r="N21" s="47">
        <f t="shared" si="6"/>
        <v>2250</v>
      </c>
      <c r="O21" s="47">
        <f t="shared" si="7"/>
        <v>5316.666666666667</v>
      </c>
      <c r="P21" s="47">
        <f t="shared" si="8"/>
        <v>5316.666666666667</v>
      </c>
    </row>
    <row r="22" spans="1:35" x14ac:dyDescent="0.2">
      <c r="A22" s="30">
        <v>44330</v>
      </c>
      <c r="B22">
        <v>44</v>
      </c>
      <c r="C22">
        <v>7.0500000000000007</v>
      </c>
      <c r="D22" s="45">
        <v>30</v>
      </c>
      <c r="E22" s="45">
        <v>0.1</v>
      </c>
      <c r="F22" s="44">
        <v>16.5</v>
      </c>
      <c r="G22" s="47">
        <f t="shared" si="0"/>
        <v>16.5</v>
      </c>
      <c r="H22" s="44">
        <v>14.2</v>
      </c>
      <c r="I22" s="49">
        <f t="shared" si="1"/>
        <v>14.2</v>
      </c>
      <c r="J22" s="49">
        <f t="shared" si="2"/>
        <v>30.7</v>
      </c>
      <c r="K22" s="47">
        <f t="shared" si="3"/>
        <v>2750</v>
      </c>
      <c r="L22" s="47">
        <f t="shared" si="4"/>
        <v>2750</v>
      </c>
      <c r="M22" s="47">
        <f t="shared" si="5"/>
        <v>2366.6666666666665</v>
      </c>
      <c r="N22" s="47">
        <f t="shared" si="6"/>
        <v>2366.6666666666665</v>
      </c>
      <c r="O22" s="47">
        <f t="shared" si="7"/>
        <v>5116.666666666667</v>
      </c>
      <c r="P22" s="47">
        <f t="shared" si="8"/>
        <v>5116.666666666667</v>
      </c>
    </row>
    <row r="23" spans="1:35" x14ac:dyDescent="0.2">
      <c r="A23" s="30">
        <v>44333</v>
      </c>
      <c r="B23">
        <v>47</v>
      </c>
      <c r="C23">
        <v>7.1</v>
      </c>
      <c r="D23" s="45">
        <v>30</v>
      </c>
      <c r="E23" s="45">
        <v>0.1</v>
      </c>
      <c r="F23" s="44">
        <v>15.5</v>
      </c>
      <c r="G23" s="47">
        <f t="shared" si="0"/>
        <v>15.5</v>
      </c>
      <c r="H23" s="44">
        <v>14.8</v>
      </c>
      <c r="I23" s="49">
        <f t="shared" si="1"/>
        <v>14.8</v>
      </c>
      <c r="J23" s="49">
        <f t="shared" si="2"/>
        <v>30.3</v>
      </c>
      <c r="K23" s="47">
        <f t="shared" si="3"/>
        <v>2583.3333333333335</v>
      </c>
      <c r="L23" s="47">
        <f t="shared" si="4"/>
        <v>2583.3333333333335</v>
      </c>
      <c r="M23" s="47">
        <f t="shared" si="5"/>
        <v>2466.666666666667</v>
      </c>
      <c r="N23" s="47">
        <f t="shared" si="6"/>
        <v>2466.666666666667</v>
      </c>
      <c r="O23" s="47">
        <f t="shared" si="7"/>
        <v>5050</v>
      </c>
      <c r="P23" s="47">
        <f t="shared" si="8"/>
        <v>5050</v>
      </c>
    </row>
    <row r="24" spans="1:35" x14ac:dyDescent="0.2">
      <c r="A24" s="30">
        <v>44335</v>
      </c>
      <c r="B24">
        <v>49</v>
      </c>
      <c r="C24">
        <v>7.1</v>
      </c>
      <c r="D24" s="45">
        <v>30</v>
      </c>
      <c r="E24" s="45">
        <v>0.1</v>
      </c>
      <c r="F24" s="44">
        <v>15.4</v>
      </c>
      <c r="G24" s="47">
        <f t="shared" si="0"/>
        <v>15.4</v>
      </c>
      <c r="H24" s="44">
        <v>13.5</v>
      </c>
      <c r="I24" s="49">
        <f t="shared" si="1"/>
        <v>13.5</v>
      </c>
      <c r="J24" s="49">
        <f t="shared" si="2"/>
        <v>28.9</v>
      </c>
      <c r="K24" s="47">
        <f t="shared" si="3"/>
        <v>2566.6666666666665</v>
      </c>
      <c r="L24" s="47">
        <f t="shared" si="4"/>
        <v>2566.6666666666665</v>
      </c>
      <c r="M24" s="47">
        <f t="shared" si="5"/>
        <v>2250</v>
      </c>
      <c r="N24" s="47">
        <f t="shared" si="6"/>
        <v>2250</v>
      </c>
      <c r="O24" s="47">
        <f t="shared" si="7"/>
        <v>4816.666666666667</v>
      </c>
      <c r="P24" s="47">
        <f t="shared" si="8"/>
        <v>4816.666666666667</v>
      </c>
    </row>
    <row r="25" spans="1:35" x14ac:dyDescent="0.2">
      <c r="A25" s="30">
        <v>44337</v>
      </c>
      <c r="B25">
        <v>51</v>
      </c>
      <c r="C25">
        <v>7.1</v>
      </c>
      <c r="D25" s="45">
        <v>30</v>
      </c>
      <c r="E25" s="45">
        <v>0.1</v>
      </c>
      <c r="F25" s="44">
        <v>14.8</v>
      </c>
      <c r="G25" s="47">
        <f t="shared" si="0"/>
        <v>14.8</v>
      </c>
      <c r="H25" s="44">
        <v>14.6</v>
      </c>
      <c r="I25" s="49">
        <f t="shared" si="1"/>
        <v>14.6</v>
      </c>
      <c r="J25" s="49">
        <f t="shared" si="2"/>
        <v>29.4</v>
      </c>
      <c r="K25" s="47">
        <f t="shared" si="3"/>
        <v>2466.666666666667</v>
      </c>
      <c r="L25" s="47">
        <f t="shared" si="4"/>
        <v>2466.666666666667</v>
      </c>
      <c r="M25" s="47">
        <f t="shared" si="5"/>
        <v>2433.3333333333335</v>
      </c>
      <c r="N25" s="47">
        <f t="shared" si="6"/>
        <v>2433.3333333333335</v>
      </c>
      <c r="O25" s="47">
        <f t="shared" si="7"/>
        <v>4900</v>
      </c>
      <c r="P25" s="47">
        <f t="shared" si="8"/>
        <v>4900</v>
      </c>
    </row>
    <row r="26" spans="1:35" x14ac:dyDescent="0.2">
      <c r="A26" s="30">
        <v>44340</v>
      </c>
      <c r="B26">
        <v>54</v>
      </c>
      <c r="C26">
        <v>7.1</v>
      </c>
      <c r="D26" s="45">
        <v>30</v>
      </c>
      <c r="E26" s="45">
        <v>0.1</v>
      </c>
      <c r="F26" s="44">
        <v>15.1</v>
      </c>
      <c r="G26" s="47">
        <f t="shared" si="0"/>
        <v>15.1</v>
      </c>
      <c r="H26" s="44">
        <v>11.5</v>
      </c>
      <c r="I26" s="49">
        <f t="shared" si="1"/>
        <v>11.5</v>
      </c>
      <c r="J26" s="49">
        <f t="shared" si="2"/>
        <v>26.6</v>
      </c>
      <c r="K26" s="47">
        <f t="shared" si="3"/>
        <v>2516.6666666666665</v>
      </c>
      <c r="L26" s="47">
        <f t="shared" si="4"/>
        <v>2516.6666666666665</v>
      </c>
      <c r="M26" s="47">
        <f t="shared" si="5"/>
        <v>1916.666666666667</v>
      </c>
      <c r="N26" s="47">
        <f t="shared" si="6"/>
        <v>1916.666666666667</v>
      </c>
      <c r="O26" s="47">
        <f t="shared" si="7"/>
        <v>4433.333333333333</v>
      </c>
      <c r="P26" s="47">
        <f t="shared" si="8"/>
        <v>4433.333333333333</v>
      </c>
    </row>
    <row r="27" spans="1:35" x14ac:dyDescent="0.2">
      <c r="A27" s="30">
        <v>44342</v>
      </c>
      <c r="B27">
        <v>56</v>
      </c>
      <c r="C27">
        <v>7.1</v>
      </c>
      <c r="D27" s="45">
        <v>30</v>
      </c>
      <c r="E27" s="45">
        <v>0.1</v>
      </c>
      <c r="F27" s="44">
        <v>13.6</v>
      </c>
      <c r="G27" s="47">
        <f t="shared" si="0"/>
        <v>13.6</v>
      </c>
      <c r="H27" s="44">
        <v>12.2</v>
      </c>
      <c r="I27" s="49">
        <f t="shared" si="1"/>
        <v>12.2</v>
      </c>
      <c r="J27" s="49">
        <f t="shared" si="2"/>
        <v>25.799999999999997</v>
      </c>
      <c r="K27" s="47">
        <f t="shared" si="3"/>
        <v>2266.6666666666665</v>
      </c>
      <c r="L27" s="47">
        <f t="shared" si="4"/>
        <v>2266.6666666666665</v>
      </c>
      <c r="M27" s="47">
        <f t="shared" si="5"/>
        <v>2033.3333333333333</v>
      </c>
      <c r="N27" s="47">
        <f t="shared" si="6"/>
        <v>2033.3333333333333</v>
      </c>
      <c r="O27" s="47">
        <f t="shared" si="7"/>
        <v>4300</v>
      </c>
      <c r="P27" s="47">
        <f t="shared" si="8"/>
        <v>4300</v>
      </c>
    </row>
    <row r="28" spans="1:35" x14ac:dyDescent="0.2">
      <c r="A28" s="30">
        <v>44344</v>
      </c>
      <c r="B28">
        <v>58</v>
      </c>
      <c r="C28">
        <v>7.1</v>
      </c>
      <c r="D28" s="45">
        <v>30</v>
      </c>
      <c r="E28" s="45">
        <v>0.1</v>
      </c>
      <c r="F28" s="44">
        <v>14.3</v>
      </c>
      <c r="G28" s="47">
        <f t="shared" si="0"/>
        <v>14.3</v>
      </c>
      <c r="H28" s="44">
        <v>15.5</v>
      </c>
      <c r="I28" s="49">
        <f t="shared" si="1"/>
        <v>15.5</v>
      </c>
      <c r="J28" s="49">
        <f t="shared" si="2"/>
        <v>29.8</v>
      </c>
      <c r="K28" s="47">
        <f t="shared" si="3"/>
        <v>2383.3333333333339</v>
      </c>
      <c r="L28" s="47">
        <f t="shared" si="4"/>
        <v>2383.3333333333339</v>
      </c>
      <c r="M28" s="47">
        <f t="shared" si="5"/>
        <v>2583.3333333333335</v>
      </c>
      <c r="N28" s="47">
        <f t="shared" si="6"/>
        <v>2583.3333333333335</v>
      </c>
      <c r="O28" s="47">
        <f t="shared" si="7"/>
        <v>4966.6666666666679</v>
      </c>
      <c r="P28" s="47">
        <f t="shared" si="8"/>
        <v>4966.6666666666679</v>
      </c>
    </row>
    <row r="29" spans="1:35" x14ac:dyDescent="0.2">
      <c r="A29" s="30">
        <v>44347</v>
      </c>
      <c r="B29">
        <v>61</v>
      </c>
      <c r="C29">
        <v>7.1</v>
      </c>
      <c r="D29" s="45">
        <v>30</v>
      </c>
      <c r="E29" s="45">
        <v>0.1</v>
      </c>
      <c r="F29" s="44">
        <v>14</v>
      </c>
      <c r="G29" s="47">
        <f t="shared" si="0"/>
        <v>14</v>
      </c>
      <c r="H29" s="44">
        <v>9.6</v>
      </c>
      <c r="I29" s="49">
        <f t="shared" si="1"/>
        <v>9.6</v>
      </c>
      <c r="J29" s="49">
        <f t="shared" si="2"/>
        <v>23.6</v>
      </c>
      <c r="K29" s="47">
        <f t="shared" si="3"/>
        <v>2333.3333333333335</v>
      </c>
      <c r="L29" s="47">
        <f t="shared" si="4"/>
        <v>2333.3333333333335</v>
      </c>
      <c r="M29" s="47">
        <f t="shared" si="5"/>
        <v>1600</v>
      </c>
      <c r="N29" s="47">
        <f t="shared" si="6"/>
        <v>1600</v>
      </c>
      <c r="O29" s="47">
        <f t="shared" si="7"/>
        <v>3933.3333333333339</v>
      </c>
      <c r="P29" s="47">
        <f t="shared" si="8"/>
        <v>3933.3333333333339</v>
      </c>
    </row>
    <row r="30" spans="1:35" x14ac:dyDescent="0.2">
      <c r="A30" s="30">
        <v>44349</v>
      </c>
      <c r="B30">
        <v>63</v>
      </c>
      <c r="C30">
        <v>7.1</v>
      </c>
      <c r="D30" s="45">
        <v>30</v>
      </c>
      <c r="E30" s="45">
        <v>0.1</v>
      </c>
      <c r="F30" s="44">
        <v>14.1</v>
      </c>
      <c r="G30" s="47">
        <f t="shared" si="0"/>
        <v>14.1</v>
      </c>
      <c r="H30" s="44">
        <v>10.6</v>
      </c>
      <c r="I30" s="49">
        <f t="shared" si="1"/>
        <v>10.6</v>
      </c>
      <c r="J30" s="49">
        <f t="shared" si="2"/>
        <v>24.7</v>
      </c>
      <c r="K30" s="47">
        <f t="shared" si="3"/>
        <v>2350</v>
      </c>
      <c r="L30" s="47">
        <f t="shared" si="4"/>
        <v>2350</v>
      </c>
      <c r="M30" s="47">
        <f t="shared" si="5"/>
        <v>1766.6666666666667</v>
      </c>
      <c r="N30" s="47">
        <f t="shared" si="6"/>
        <v>1766.6666666666667</v>
      </c>
      <c r="O30" s="47">
        <f t="shared" si="7"/>
        <v>4116.666666666667</v>
      </c>
      <c r="P30" s="47">
        <f t="shared" si="8"/>
        <v>4116.666666666667</v>
      </c>
    </row>
    <row r="31" spans="1:35" x14ac:dyDescent="0.2">
      <c r="A31" s="30">
        <v>44351</v>
      </c>
      <c r="B31">
        <v>65</v>
      </c>
      <c r="C31">
        <v>7.1</v>
      </c>
      <c r="D31" s="45">
        <v>30</v>
      </c>
      <c r="E31" s="45">
        <v>0.1</v>
      </c>
      <c r="F31" s="44">
        <v>14.3</v>
      </c>
      <c r="G31" s="47">
        <f t="shared" si="0"/>
        <v>14.3</v>
      </c>
      <c r="H31" s="44">
        <v>9.8000000000000007</v>
      </c>
      <c r="I31" s="49">
        <f t="shared" si="1"/>
        <v>9.8000000000000007</v>
      </c>
      <c r="J31" s="49">
        <f t="shared" si="2"/>
        <v>24.1</v>
      </c>
      <c r="K31" s="47">
        <f t="shared" si="3"/>
        <v>2383.3333333333339</v>
      </c>
      <c r="L31" s="47">
        <f t="shared" si="4"/>
        <v>2383.3333333333339</v>
      </c>
      <c r="M31" s="47">
        <f t="shared" si="5"/>
        <v>1633.3333333333335</v>
      </c>
      <c r="N31" s="47">
        <f t="shared" si="6"/>
        <v>1633.3333333333335</v>
      </c>
      <c r="O31" s="47">
        <f t="shared" si="7"/>
        <v>4016.6666666666665</v>
      </c>
      <c r="P31" s="47">
        <f t="shared" si="8"/>
        <v>4016.6666666666665</v>
      </c>
    </row>
    <row r="32" spans="1:35" x14ac:dyDescent="0.2">
      <c r="A32" s="30">
        <v>44354</v>
      </c>
      <c r="B32">
        <v>68</v>
      </c>
      <c r="C32">
        <v>7.1</v>
      </c>
      <c r="D32" s="45">
        <v>30</v>
      </c>
      <c r="E32" s="45">
        <v>0.1</v>
      </c>
      <c r="F32" s="44">
        <v>13.4</v>
      </c>
      <c r="G32" s="47">
        <f t="shared" si="0"/>
        <v>13.4</v>
      </c>
      <c r="H32" s="44">
        <v>9.3000000000000007</v>
      </c>
      <c r="I32" s="49">
        <f t="shared" si="1"/>
        <v>9.3000000000000007</v>
      </c>
      <c r="J32" s="49">
        <f t="shared" si="2"/>
        <v>22.700000000000003</v>
      </c>
      <c r="K32" s="47">
        <f t="shared" si="3"/>
        <v>2233.3333333333335</v>
      </c>
      <c r="L32" s="47">
        <f t="shared" si="4"/>
        <v>2233.3333333333335</v>
      </c>
      <c r="M32" s="47">
        <f t="shared" si="5"/>
        <v>1550.0000000000002</v>
      </c>
      <c r="N32" s="47">
        <f t="shared" si="6"/>
        <v>1550.0000000000002</v>
      </c>
      <c r="O32" s="47">
        <f t="shared" si="7"/>
        <v>3783.3333333333344</v>
      </c>
      <c r="P32" s="47">
        <f t="shared" si="8"/>
        <v>3783.3333333333344</v>
      </c>
    </row>
    <row r="33" spans="1:16" x14ac:dyDescent="0.2">
      <c r="A33" s="30">
        <v>44356</v>
      </c>
      <c r="B33">
        <v>70</v>
      </c>
      <c r="C33">
        <v>7.1</v>
      </c>
      <c r="D33" s="45">
        <v>30</v>
      </c>
      <c r="E33" s="45">
        <v>0.1</v>
      </c>
      <c r="F33" s="44">
        <v>13</v>
      </c>
      <c r="G33" s="47">
        <f t="shared" si="0"/>
        <v>13</v>
      </c>
      <c r="H33" s="44">
        <v>9.3000000000000007</v>
      </c>
      <c r="I33" s="49">
        <f t="shared" si="1"/>
        <v>9.3000000000000007</v>
      </c>
      <c r="J33" s="49">
        <f t="shared" si="2"/>
        <v>22.3</v>
      </c>
      <c r="K33" s="47">
        <f t="shared" si="3"/>
        <v>2166.6666666666665</v>
      </c>
      <c r="L33" s="47">
        <f t="shared" si="4"/>
        <v>2166.6666666666665</v>
      </c>
      <c r="M33" s="47">
        <f t="shared" si="5"/>
        <v>1550.0000000000002</v>
      </c>
      <c r="N33" s="47">
        <f t="shared" si="6"/>
        <v>1550.0000000000002</v>
      </c>
      <c r="O33" s="47">
        <f>((J33*E33)*50*1000)/D33</f>
        <v>3716.6666666666665</v>
      </c>
      <c r="P33" s="47">
        <f t="shared" si="8"/>
        <v>3716.6666666666665</v>
      </c>
    </row>
    <row r="34" spans="1:16" x14ac:dyDescent="0.2">
      <c r="A34" s="30">
        <v>44358</v>
      </c>
      <c r="B34">
        <v>72</v>
      </c>
      <c r="C34">
        <v>7.1</v>
      </c>
      <c r="D34" s="45">
        <v>30</v>
      </c>
      <c r="E34" s="45">
        <v>0.1</v>
      </c>
      <c r="F34" s="44">
        <v>12.5</v>
      </c>
      <c r="G34" s="47">
        <f t="shared" si="0"/>
        <v>12.5</v>
      </c>
      <c r="H34" s="44">
        <v>9</v>
      </c>
      <c r="I34" s="49">
        <f t="shared" si="1"/>
        <v>9</v>
      </c>
      <c r="J34" s="49">
        <f t="shared" si="2"/>
        <v>21.5</v>
      </c>
      <c r="K34" s="47">
        <f t="shared" si="3"/>
        <v>2083.3333333333335</v>
      </c>
      <c r="L34" s="47">
        <f t="shared" si="4"/>
        <v>2083.3333333333335</v>
      </c>
      <c r="M34" s="47">
        <f t="shared" si="5"/>
        <v>1500</v>
      </c>
      <c r="N34" s="47">
        <f t="shared" si="6"/>
        <v>1500</v>
      </c>
      <c r="O34" s="47">
        <f t="shared" si="7"/>
        <v>3583.3333333333335</v>
      </c>
      <c r="P34" s="47">
        <f t="shared" si="8"/>
        <v>3583.3333333333335</v>
      </c>
    </row>
    <row r="35" spans="1:16" x14ac:dyDescent="0.2">
      <c r="A35" s="30">
        <v>44361</v>
      </c>
      <c r="B35">
        <v>75</v>
      </c>
      <c r="C35">
        <v>7.1</v>
      </c>
      <c r="D35" s="45">
        <v>30</v>
      </c>
      <c r="E35" s="45">
        <v>0.1</v>
      </c>
      <c r="F35" s="44">
        <v>13.1</v>
      </c>
      <c r="G35" s="47">
        <f t="shared" si="0"/>
        <v>13.1</v>
      </c>
      <c r="H35" s="44">
        <v>9.1999999999999993</v>
      </c>
      <c r="I35" s="49">
        <f t="shared" si="1"/>
        <v>9.1999999999999993</v>
      </c>
      <c r="J35" s="49">
        <f t="shared" si="2"/>
        <v>22.299999999999997</v>
      </c>
      <c r="K35" s="47">
        <f t="shared" si="3"/>
        <v>2183.3333333333335</v>
      </c>
      <c r="L35" s="47">
        <f t="shared" si="4"/>
        <v>2183.3333333333335</v>
      </c>
      <c r="M35" s="47">
        <f t="shared" si="5"/>
        <v>1533.3333333333333</v>
      </c>
      <c r="N35" s="47">
        <f t="shared" si="6"/>
        <v>1533.3333333333333</v>
      </c>
      <c r="O35" s="47">
        <f t="shared" si="7"/>
        <v>3716.6666666666665</v>
      </c>
      <c r="P35" s="47">
        <f t="shared" si="8"/>
        <v>3716.6666666666665</v>
      </c>
    </row>
    <row r="36" spans="1:16" x14ac:dyDescent="0.2">
      <c r="A36" s="30">
        <v>44363</v>
      </c>
      <c r="B36">
        <v>77</v>
      </c>
      <c r="C36">
        <v>7.1</v>
      </c>
      <c r="D36" s="45">
        <v>30</v>
      </c>
      <c r="E36" s="45">
        <v>0.1</v>
      </c>
      <c r="F36" s="44">
        <v>12.5</v>
      </c>
      <c r="G36" s="47">
        <f t="shared" si="0"/>
        <v>12.5</v>
      </c>
      <c r="H36" s="44">
        <v>8.6</v>
      </c>
      <c r="I36" s="49">
        <f t="shared" si="1"/>
        <v>8.6</v>
      </c>
      <c r="J36" s="49">
        <f t="shared" si="2"/>
        <v>21.1</v>
      </c>
      <c r="K36" s="47">
        <f t="shared" si="3"/>
        <v>2083.3333333333335</v>
      </c>
      <c r="L36" s="47">
        <f t="shared" si="4"/>
        <v>2083.3333333333335</v>
      </c>
      <c r="M36" s="47">
        <f t="shared" si="5"/>
        <v>1433.3333333333333</v>
      </c>
      <c r="N36" s="47">
        <f t="shared" si="6"/>
        <v>1433.3333333333333</v>
      </c>
      <c r="O36" s="47">
        <f t="shared" si="7"/>
        <v>3516.666666666667</v>
      </c>
      <c r="P36" s="47">
        <f t="shared" si="8"/>
        <v>3516.666666666667</v>
      </c>
    </row>
    <row r="37" spans="1:16" x14ac:dyDescent="0.2">
      <c r="A37" s="30">
        <v>44365</v>
      </c>
      <c r="B37">
        <v>79</v>
      </c>
      <c r="C37">
        <v>7.1</v>
      </c>
      <c r="D37" s="45">
        <v>30</v>
      </c>
      <c r="E37" s="45">
        <v>0.1</v>
      </c>
      <c r="F37" s="44">
        <v>12.3</v>
      </c>
      <c r="G37" s="47">
        <f t="shared" si="0"/>
        <v>12.3</v>
      </c>
      <c r="H37" s="44">
        <v>8.8000000000000007</v>
      </c>
      <c r="I37" s="49">
        <f t="shared" si="1"/>
        <v>8.8000000000000007</v>
      </c>
      <c r="J37" s="49">
        <f t="shared" si="2"/>
        <v>21.1</v>
      </c>
      <c r="K37" s="47">
        <f t="shared" si="3"/>
        <v>2050.0000000000005</v>
      </c>
      <c r="L37" s="47">
        <f t="shared" si="4"/>
        <v>2050.0000000000005</v>
      </c>
      <c r="M37" s="47">
        <f t="shared" si="5"/>
        <v>1466.666666666667</v>
      </c>
      <c r="N37" s="47">
        <f t="shared" si="6"/>
        <v>1466.666666666667</v>
      </c>
      <c r="O37" s="47">
        <f t="shared" si="7"/>
        <v>3516.666666666667</v>
      </c>
      <c r="P37" s="47">
        <f t="shared" si="8"/>
        <v>3516.666666666667</v>
      </c>
    </row>
    <row r="38" spans="1:16" x14ac:dyDescent="0.2">
      <c r="A38" s="30">
        <v>44368</v>
      </c>
      <c r="B38">
        <v>82</v>
      </c>
      <c r="C38">
        <v>7.1</v>
      </c>
      <c r="D38" s="45">
        <v>30</v>
      </c>
      <c r="E38" s="45">
        <v>0.1</v>
      </c>
      <c r="F38" s="44">
        <v>12.8</v>
      </c>
      <c r="G38" s="47">
        <f t="shared" si="0"/>
        <v>12.8</v>
      </c>
      <c r="H38" s="44">
        <v>8.4</v>
      </c>
      <c r="I38" s="49">
        <f t="shared" si="1"/>
        <v>8.4</v>
      </c>
      <c r="J38" s="49">
        <f t="shared" si="2"/>
        <v>21.200000000000003</v>
      </c>
      <c r="K38" s="47">
        <f t="shared" si="3"/>
        <v>2133.3333333333339</v>
      </c>
      <c r="L38" s="47">
        <f t="shared" si="4"/>
        <v>2133.3333333333339</v>
      </c>
      <c r="M38" s="47">
        <f t="shared" si="5"/>
        <v>1400.0000000000002</v>
      </c>
      <c r="N38" s="47">
        <f t="shared" si="6"/>
        <v>1400.0000000000002</v>
      </c>
      <c r="O38" s="47">
        <f t="shared" si="7"/>
        <v>3533.3333333333344</v>
      </c>
      <c r="P38" s="47">
        <f t="shared" si="8"/>
        <v>3533.3333333333344</v>
      </c>
    </row>
    <row r="39" spans="1:16" x14ac:dyDescent="0.2">
      <c r="A39" s="30">
        <v>44370</v>
      </c>
      <c r="B39">
        <v>84</v>
      </c>
      <c r="C39">
        <v>7.1</v>
      </c>
      <c r="D39" s="45">
        <v>30</v>
      </c>
      <c r="E39" s="45">
        <v>0.1</v>
      </c>
      <c r="F39" s="44">
        <v>12.6</v>
      </c>
      <c r="G39" s="47">
        <f t="shared" si="0"/>
        <v>12.6</v>
      </c>
      <c r="H39" s="44">
        <v>8.5</v>
      </c>
      <c r="I39" s="49">
        <f t="shared" si="1"/>
        <v>8.5</v>
      </c>
      <c r="J39" s="49">
        <f t="shared" si="2"/>
        <v>21.1</v>
      </c>
      <c r="K39" s="47">
        <f t="shared" si="3"/>
        <v>2100</v>
      </c>
      <c r="L39" s="47">
        <f t="shared" si="4"/>
        <v>2100</v>
      </c>
      <c r="M39" s="47">
        <f t="shared" si="5"/>
        <v>1416.666666666667</v>
      </c>
      <c r="N39" s="47">
        <f t="shared" si="6"/>
        <v>1416.666666666667</v>
      </c>
      <c r="O39" s="47">
        <f t="shared" si="7"/>
        <v>3516.666666666667</v>
      </c>
      <c r="P39" s="47">
        <f t="shared" si="8"/>
        <v>3516.666666666667</v>
      </c>
    </row>
    <row r="40" spans="1:16" x14ac:dyDescent="0.2">
      <c r="A40" s="30">
        <v>44372</v>
      </c>
      <c r="B40">
        <v>86</v>
      </c>
      <c r="C40">
        <v>7.1</v>
      </c>
      <c r="D40" s="45">
        <v>30</v>
      </c>
      <c r="E40" s="45">
        <v>0.1</v>
      </c>
      <c r="F40" s="44">
        <v>12.4</v>
      </c>
      <c r="G40" s="47">
        <f t="shared" si="0"/>
        <v>12.4</v>
      </c>
      <c r="H40" s="44">
        <v>8.6</v>
      </c>
      <c r="I40" s="49">
        <f t="shared" si="1"/>
        <v>8.6</v>
      </c>
      <c r="J40" s="49">
        <f t="shared" si="2"/>
        <v>21</v>
      </c>
      <c r="K40" s="47">
        <f t="shared" si="3"/>
        <v>2066.666666666667</v>
      </c>
      <c r="L40" s="47">
        <f t="shared" si="4"/>
        <v>2066.666666666667</v>
      </c>
      <c r="M40" s="47">
        <f t="shared" si="5"/>
        <v>1433.3333333333333</v>
      </c>
      <c r="N40" s="47">
        <f t="shared" si="6"/>
        <v>1433.3333333333333</v>
      </c>
      <c r="O40" s="47">
        <f t="shared" si="7"/>
        <v>3500</v>
      </c>
      <c r="P40" s="47">
        <f t="shared" si="8"/>
        <v>3500</v>
      </c>
    </row>
    <row r="41" spans="1:16" x14ac:dyDescent="0.2">
      <c r="A41" s="30">
        <v>44375</v>
      </c>
      <c r="B41">
        <v>89</v>
      </c>
      <c r="C41">
        <v>7.1</v>
      </c>
      <c r="D41" s="45">
        <v>30</v>
      </c>
      <c r="E41" s="45">
        <v>0.1</v>
      </c>
      <c r="F41" s="44">
        <v>12.7</v>
      </c>
      <c r="G41" s="47">
        <f t="shared" si="0"/>
        <v>12.7</v>
      </c>
      <c r="H41" s="44">
        <v>8.3000000000000007</v>
      </c>
      <c r="I41" s="49">
        <f t="shared" si="1"/>
        <v>8.3000000000000007</v>
      </c>
      <c r="J41" s="49">
        <f t="shared" si="2"/>
        <v>21</v>
      </c>
      <c r="K41" s="47">
        <f t="shared" si="3"/>
        <v>2116.6666666666665</v>
      </c>
      <c r="L41" s="47">
        <f t="shared" si="4"/>
        <v>2116.6666666666665</v>
      </c>
      <c r="M41" s="47">
        <f t="shared" si="5"/>
        <v>1383.3333333333333</v>
      </c>
      <c r="N41" s="47">
        <f t="shared" si="6"/>
        <v>1383.3333333333333</v>
      </c>
      <c r="O41" s="47">
        <f t="shared" si="7"/>
        <v>3500</v>
      </c>
      <c r="P41" s="47">
        <f t="shared" si="8"/>
        <v>3500</v>
      </c>
    </row>
    <row r="42" spans="1:16" x14ac:dyDescent="0.2">
      <c r="A42" s="30">
        <v>44377</v>
      </c>
      <c r="B42">
        <v>91</v>
      </c>
      <c r="C42">
        <v>7.1</v>
      </c>
      <c r="D42" s="45">
        <v>30</v>
      </c>
      <c r="E42" s="45">
        <v>0.1</v>
      </c>
      <c r="F42" s="44">
        <v>12.6</v>
      </c>
      <c r="G42" s="47">
        <f t="shared" si="0"/>
        <v>12.6</v>
      </c>
      <c r="H42" s="44">
        <v>8.6</v>
      </c>
      <c r="I42" s="49">
        <f t="shared" si="1"/>
        <v>8.6</v>
      </c>
      <c r="J42" s="49">
        <f t="shared" si="2"/>
        <v>21.2</v>
      </c>
      <c r="K42" s="47">
        <f t="shared" si="3"/>
        <v>2100</v>
      </c>
      <c r="L42" s="47">
        <f t="shared" si="4"/>
        <v>2100</v>
      </c>
      <c r="M42" s="47">
        <f t="shared" si="5"/>
        <v>1433.3333333333333</v>
      </c>
      <c r="N42" s="47">
        <f t="shared" si="6"/>
        <v>1433.3333333333333</v>
      </c>
      <c r="O42" s="47">
        <f t="shared" si="7"/>
        <v>3533.3333333333335</v>
      </c>
      <c r="P42" s="47">
        <f t="shared" si="8"/>
        <v>3533.3333333333335</v>
      </c>
    </row>
    <row r="43" spans="1:16" x14ac:dyDescent="0.2">
      <c r="A43" s="30">
        <v>44379</v>
      </c>
      <c r="B43">
        <v>93</v>
      </c>
      <c r="C43">
        <v>7.1</v>
      </c>
      <c r="D43" s="45">
        <v>30</v>
      </c>
      <c r="E43" s="45">
        <v>0.1</v>
      </c>
      <c r="F43" s="44">
        <v>12</v>
      </c>
      <c r="G43" s="47">
        <f t="shared" si="0"/>
        <v>12</v>
      </c>
      <c r="H43" s="44">
        <v>8.8000000000000007</v>
      </c>
      <c r="I43" s="49">
        <f t="shared" si="1"/>
        <v>8.8000000000000007</v>
      </c>
      <c r="J43" s="49">
        <f t="shared" si="2"/>
        <v>20.8</v>
      </c>
      <c r="K43" s="47">
        <f t="shared" si="3"/>
        <v>2000.0000000000002</v>
      </c>
      <c r="L43" s="47">
        <f t="shared" si="4"/>
        <v>2000.0000000000002</v>
      </c>
      <c r="M43" s="47">
        <f t="shared" si="5"/>
        <v>1466.666666666667</v>
      </c>
      <c r="N43" s="47">
        <f t="shared" si="6"/>
        <v>1466.666666666667</v>
      </c>
      <c r="O43" s="47">
        <f t="shared" si="7"/>
        <v>3466.6666666666665</v>
      </c>
      <c r="P43" s="47">
        <f t="shared" si="8"/>
        <v>3466.6666666666665</v>
      </c>
    </row>
    <row r="44" spans="1:16" x14ac:dyDescent="0.2">
      <c r="A44" s="30">
        <v>44382</v>
      </c>
      <c r="B44">
        <v>96</v>
      </c>
      <c r="C44">
        <v>7.1</v>
      </c>
      <c r="D44" s="45">
        <v>30</v>
      </c>
      <c r="E44" s="45">
        <v>0.1</v>
      </c>
      <c r="F44" s="44">
        <v>12.1</v>
      </c>
      <c r="G44" s="47">
        <f t="shared" si="0"/>
        <v>12.1</v>
      </c>
      <c r="H44" s="44">
        <v>8.5</v>
      </c>
      <c r="I44" s="49">
        <f t="shared" si="1"/>
        <v>8.5</v>
      </c>
      <c r="J44" s="49">
        <f t="shared" si="2"/>
        <v>20.6</v>
      </c>
      <c r="K44" s="47">
        <f t="shared" si="3"/>
        <v>2016.6666666666667</v>
      </c>
      <c r="L44" s="47">
        <f t="shared" si="4"/>
        <v>2016.6666666666667</v>
      </c>
      <c r="M44" s="47">
        <f t="shared" si="5"/>
        <v>1416.666666666667</v>
      </c>
      <c r="N44" s="47">
        <f t="shared" si="6"/>
        <v>1416.666666666667</v>
      </c>
      <c r="O44" s="47">
        <f t="shared" si="7"/>
        <v>3433.3333333333335</v>
      </c>
      <c r="P44" s="47">
        <f t="shared" si="8"/>
        <v>3433.3333333333335</v>
      </c>
    </row>
    <row r="45" spans="1:16" x14ac:dyDescent="0.2">
      <c r="A45" s="30">
        <v>44384</v>
      </c>
      <c r="B45">
        <v>98</v>
      </c>
      <c r="C45">
        <v>7.1</v>
      </c>
      <c r="D45" s="45">
        <v>30</v>
      </c>
      <c r="E45" s="45">
        <v>0.1</v>
      </c>
      <c r="F45" s="44">
        <v>11.9</v>
      </c>
      <c r="G45" s="47">
        <f t="shared" si="0"/>
        <v>11.9</v>
      </c>
      <c r="H45" s="44">
        <v>8.6</v>
      </c>
      <c r="I45" s="49">
        <f t="shared" si="1"/>
        <v>8.6</v>
      </c>
      <c r="J45" s="49">
        <f t="shared" si="2"/>
        <v>20.5</v>
      </c>
      <c r="K45" s="47">
        <f t="shared" si="3"/>
        <v>1983.3333333333335</v>
      </c>
      <c r="L45" s="47">
        <f t="shared" si="4"/>
        <v>1983.3333333333335</v>
      </c>
      <c r="M45" s="47">
        <f t="shared" si="5"/>
        <v>1433.3333333333333</v>
      </c>
      <c r="N45" s="47">
        <f t="shared" si="6"/>
        <v>1433.3333333333333</v>
      </c>
      <c r="O45" s="47">
        <f t="shared" si="7"/>
        <v>3416.666666666667</v>
      </c>
      <c r="P45" s="47">
        <f t="shared" si="8"/>
        <v>3416.666666666667</v>
      </c>
    </row>
    <row r="46" spans="1:16" x14ac:dyDescent="0.2">
      <c r="A46" s="30">
        <v>44417</v>
      </c>
      <c r="B46">
        <v>100</v>
      </c>
      <c r="C46">
        <v>7.1</v>
      </c>
      <c r="D46" s="45">
        <v>30</v>
      </c>
      <c r="E46" s="45">
        <v>0.1</v>
      </c>
      <c r="F46" s="44">
        <v>12</v>
      </c>
      <c r="G46" s="47">
        <f t="shared" si="0"/>
        <v>12</v>
      </c>
      <c r="H46" s="44">
        <v>8.1999999999999993</v>
      </c>
      <c r="I46" s="49">
        <f t="shared" si="1"/>
        <v>8.1999999999999993</v>
      </c>
      <c r="J46" s="49">
        <f t="shared" si="2"/>
        <v>20.2</v>
      </c>
      <c r="K46" s="47">
        <f t="shared" si="3"/>
        <v>2000.0000000000002</v>
      </c>
      <c r="L46" s="47">
        <f t="shared" si="4"/>
        <v>2000.0000000000002</v>
      </c>
      <c r="M46" s="47">
        <f t="shared" si="5"/>
        <v>1366.6666666666667</v>
      </c>
      <c r="N46" s="47">
        <f t="shared" si="6"/>
        <v>1366.6666666666667</v>
      </c>
      <c r="O46" s="47">
        <f t="shared" si="7"/>
        <v>3366.6666666666665</v>
      </c>
      <c r="P46" s="47">
        <f t="shared" si="8"/>
        <v>3366.6666666666665</v>
      </c>
    </row>
    <row r="47" spans="1:16" x14ac:dyDescent="0.2">
      <c r="A47" s="30">
        <v>44419</v>
      </c>
      <c r="B47">
        <v>102</v>
      </c>
      <c r="C47">
        <v>7.1</v>
      </c>
      <c r="D47" s="45">
        <v>30</v>
      </c>
      <c r="E47" s="45">
        <v>0.1</v>
      </c>
      <c r="F47" s="44">
        <v>12.3</v>
      </c>
      <c r="G47" s="47">
        <f t="shared" si="0"/>
        <v>12.3</v>
      </c>
      <c r="H47" s="44">
        <v>8.6</v>
      </c>
      <c r="I47" s="49">
        <f t="shared" si="1"/>
        <v>8.6</v>
      </c>
      <c r="J47" s="49">
        <f t="shared" si="2"/>
        <v>20.9</v>
      </c>
      <c r="K47" s="47">
        <f t="shared" si="3"/>
        <v>2050.0000000000005</v>
      </c>
      <c r="L47" s="47">
        <f t="shared" si="4"/>
        <v>2050.0000000000005</v>
      </c>
      <c r="M47" s="47">
        <f t="shared" si="5"/>
        <v>1433.3333333333333</v>
      </c>
      <c r="N47" s="47">
        <f t="shared" si="6"/>
        <v>1433.3333333333333</v>
      </c>
      <c r="O47" s="47">
        <f t="shared" si="7"/>
        <v>3483.3333333333335</v>
      </c>
      <c r="P47" s="47">
        <f t="shared" si="8"/>
        <v>3483.3333333333335</v>
      </c>
    </row>
    <row r="48" spans="1:16" x14ac:dyDescent="0.2">
      <c r="A48" s="30">
        <v>44421</v>
      </c>
      <c r="B48">
        <v>104</v>
      </c>
      <c r="C48">
        <v>7.1</v>
      </c>
      <c r="D48" s="45">
        <v>30</v>
      </c>
      <c r="E48" s="45">
        <v>0.1</v>
      </c>
      <c r="F48" s="44">
        <v>12.1</v>
      </c>
      <c r="G48" s="47">
        <f t="shared" si="0"/>
        <v>12.1</v>
      </c>
      <c r="H48" s="44">
        <v>8</v>
      </c>
      <c r="I48" s="49">
        <f t="shared" si="1"/>
        <v>8</v>
      </c>
      <c r="J48" s="49">
        <f t="shared" si="2"/>
        <v>20.100000000000001</v>
      </c>
      <c r="K48" s="47">
        <f t="shared" si="3"/>
        <v>2016.6666666666667</v>
      </c>
      <c r="L48" s="47">
        <f t="shared" si="4"/>
        <v>2016.6666666666667</v>
      </c>
      <c r="M48" s="47">
        <f t="shared" si="5"/>
        <v>1333.3333333333333</v>
      </c>
      <c r="N48" s="47">
        <f t="shared" si="6"/>
        <v>1333.3333333333333</v>
      </c>
      <c r="O48" s="47">
        <f t="shared" si="7"/>
        <v>3350.0000000000005</v>
      </c>
      <c r="P48" s="47">
        <f t="shared" si="8"/>
        <v>3350.0000000000005</v>
      </c>
    </row>
    <row r="49" spans="1:16" x14ac:dyDescent="0.2">
      <c r="A49" s="30">
        <v>44424</v>
      </c>
      <c r="B49">
        <v>107</v>
      </c>
      <c r="C49">
        <v>7.1</v>
      </c>
      <c r="D49" s="45">
        <v>30</v>
      </c>
      <c r="E49" s="45">
        <v>0.1</v>
      </c>
      <c r="F49" s="44">
        <v>12.5</v>
      </c>
      <c r="G49" s="47">
        <f t="shared" si="0"/>
        <v>12.5</v>
      </c>
      <c r="H49" s="44">
        <v>8</v>
      </c>
      <c r="I49" s="49">
        <f t="shared" si="1"/>
        <v>8</v>
      </c>
      <c r="J49" s="49">
        <f t="shared" si="2"/>
        <v>20.5</v>
      </c>
      <c r="K49" s="47">
        <f t="shared" si="3"/>
        <v>2083.3333333333335</v>
      </c>
      <c r="L49" s="47">
        <f t="shared" si="4"/>
        <v>2083.3333333333335</v>
      </c>
      <c r="M49" s="47">
        <f t="shared" si="5"/>
        <v>1333.3333333333333</v>
      </c>
      <c r="N49" s="47">
        <f t="shared" si="6"/>
        <v>1333.3333333333333</v>
      </c>
      <c r="O49" s="47">
        <f t="shared" si="7"/>
        <v>3416.666666666667</v>
      </c>
      <c r="P49" s="47">
        <f t="shared" si="8"/>
        <v>3416.666666666667</v>
      </c>
    </row>
    <row r="50" spans="1:16" x14ac:dyDescent="0.2">
      <c r="A50" s="30">
        <v>44426</v>
      </c>
      <c r="B50">
        <v>109</v>
      </c>
      <c r="C50">
        <v>7.1</v>
      </c>
      <c r="D50" s="45">
        <v>30</v>
      </c>
      <c r="E50" s="45">
        <v>0.1</v>
      </c>
      <c r="F50" s="44">
        <v>11.5</v>
      </c>
      <c r="G50" s="47">
        <f t="shared" si="0"/>
        <v>11.5</v>
      </c>
      <c r="H50" s="44">
        <v>9.1</v>
      </c>
      <c r="I50" s="49">
        <f t="shared" si="1"/>
        <v>9.1</v>
      </c>
      <c r="J50" s="49">
        <f t="shared" si="2"/>
        <v>20.6</v>
      </c>
      <c r="K50" s="47">
        <f t="shared" si="3"/>
        <v>1916.666666666667</v>
      </c>
      <c r="L50" s="47">
        <f t="shared" si="4"/>
        <v>1916.666666666667</v>
      </c>
      <c r="M50" s="47">
        <f t="shared" si="5"/>
        <v>1516.6666666666667</v>
      </c>
      <c r="N50" s="47">
        <f t="shared" si="6"/>
        <v>1516.6666666666667</v>
      </c>
      <c r="O50" s="47">
        <f t="shared" si="7"/>
        <v>3433.3333333333335</v>
      </c>
      <c r="P50" s="47">
        <f t="shared" si="8"/>
        <v>3433.3333333333335</v>
      </c>
    </row>
    <row r="51" spans="1:16" x14ac:dyDescent="0.2">
      <c r="A51" s="30">
        <v>44428</v>
      </c>
      <c r="B51">
        <v>111</v>
      </c>
      <c r="C51">
        <v>7.1</v>
      </c>
      <c r="D51" s="45">
        <v>30</v>
      </c>
      <c r="E51" s="45">
        <v>0.1</v>
      </c>
      <c r="F51" s="44">
        <v>11.7</v>
      </c>
      <c r="G51" s="47">
        <f t="shared" si="0"/>
        <v>11.7</v>
      </c>
      <c r="H51" s="44">
        <v>9</v>
      </c>
      <c r="I51" s="49">
        <f t="shared" si="1"/>
        <v>9</v>
      </c>
      <c r="J51" s="49">
        <f t="shared" si="2"/>
        <v>20.7</v>
      </c>
      <c r="K51" s="47">
        <f t="shared" si="3"/>
        <v>1950</v>
      </c>
      <c r="L51" s="47">
        <f t="shared" si="4"/>
        <v>1950</v>
      </c>
      <c r="M51" s="47">
        <f t="shared" si="5"/>
        <v>1500</v>
      </c>
      <c r="N51" s="47">
        <f t="shared" si="6"/>
        <v>1500</v>
      </c>
      <c r="O51" s="47">
        <f t="shared" si="7"/>
        <v>3449.9999999999995</v>
      </c>
      <c r="P51" s="47">
        <f t="shared" si="8"/>
        <v>3449.9999999999995</v>
      </c>
    </row>
    <row r="52" spans="1:16" x14ac:dyDescent="0.2">
      <c r="A52" s="30">
        <v>44431</v>
      </c>
      <c r="B52">
        <v>115</v>
      </c>
      <c r="C52">
        <v>7</v>
      </c>
      <c r="D52" s="45">
        <v>30</v>
      </c>
      <c r="E52" s="45">
        <v>0.1</v>
      </c>
      <c r="F52" s="44">
        <v>11</v>
      </c>
      <c r="G52" s="47">
        <f t="shared" si="0"/>
        <v>11</v>
      </c>
      <c r="H52" s="44">
        <v>9.1999999999999993</v>
      </c>
      <c r="I52" s="49">
        <f t="shared" si="1"/>
        <v>9.1999999999999993</v>
      </c>
      <c r="J52" s="49">
        <f t="shared" si="2"/>
        <v>20.2</v>
      </c>
      <c r="K52" s="47">
        <f t="shared" si="3"/>
        <v>1833.3333333333335</v>
      </c>
      <c r="L52" s="47">
        <f t="shared" si="4"/>
        <v>1833.3333333333335</v>
      </c>
      <c r="M52" s="47">
        <f t="shared" si="5"/>
        <v>1533.3333333333333</v>
      </c>
      <c r="N52" s="47">
        <f t="shared" si="6"/>
        <v>1533.3333333333333</v>
      </c>
      <c r="O52" s="47">
        <f t="shared" si="7"/>
        <v>3366.6666666666665</v>
      </c>
      <c r="P52" s="47">
        <f t="shared" si="8"/>
        <v>3366.6666666666665</v>
      </c>
    </row>
    <row r="53" spans="1:16" x14ac:dyDescent="0.2">
      <c r="A53" s="30">
        <v>44433</v>
      </c>
      <c r="B53">
        <v>117</v>
      </c>
      <c r="C53">
        <v>7.05</v>
      </c>
      <c r="D53" s="45">
        <v>30</v>
      </c>
      <c r="E53" s="45">
        <v>0.1</v>
      </c>
      <c r="F53" s="44">
        <v>10</v>
      </c>
      <c r="G53" s="47">
        <f t="shared" si="0"/>
        <v>10</v>
      </c>
      <c r="H53" s="44">
        <v>12.5</v>
      </c>
      <c r="I53" s="49">
        <f t="shared" si="1"/>
        <v>12.5</v>
      </c>
      <c r="J53" s="49">
        <f t="shared" si="2"/>
        <v>22.5</v>
      </c>
      <c r="K53" s="47">
        <f t="shared" si="3"/>
        <v>1666.6666666666667</v>
      </c>
      <c r="L53" s="47">
        <f t="shared" si="4"/>
        <v>1666.6666666666667</v>
      </c>
      <c r="M53" s="47">
        <f t="shared" si="5"/>
        <v>2083.3333333333335</v>
      </c>
      <c r="N53" s="47">
        <f t="shared" si="6"/>
        <v>2083.3333333333335</v>
      </c>
      <c r="O53" s="47">
        <f t="shared" si="7"/>
        <v>3750</v>
      </c>
      <c r="P53" s="47">
        <f t="shared" si="8"/>
        <v>3750</v>
      </c>
    </row>
    <row r="54" spans="1:16" x14ac:dyDescent="0.2">
      <c r="A54" s="30">
        <v>44435</v>
      </c>
      <c r="B54">
        <v>119</v>
      </c>
      <c r="C54">
        <v>7</v>
      </c>
      <c r="D54" s="45">
        <v>30</v>
      </c>
      <c r="E54" s="45">
        <v>0.1</v>
      </c>
      <c r="F54" s="44">
        <v>11</v>
      </c>
      <c r="G54" s="47">
        <f t="shared" si="0"/>
        <v>11</v>
      </c>
      <c r="H54" s="44">
        <v>14</v>
      </c>
      <c r="I54" s="49">
        <f t="shared" si="1"/>
        <v>14</v>
      </c>
      <c r="J54" s="49">
        <f t="shared" si="2"/>
        <v>25</v>
      </c>
      <c r="K54" s="47">
        <f t="shared" si="3"/>
        <v>1833.3333333333335</v>
      </c>
      <c r="L54" s="47">
        <f t="shared" si="4"/>
        <v>1833.3333333333335</v>
      </c>
      <c r="M54" s="47">
        <f t="shared" si="5"/>
        <v>2333.3333333333335</v>
      </c>
      <c r="N54" s="47">
        <f t="shared" si="6"/>
        <v>2333.3333333333335</v>
      </c>
      <c r="O54" s="47">
        <f t="shared" si="7"/>
        <v>4166.666666666667</v>
      </c>
      <c r="P54" s="47">
        <f t="shared" si="8"/>
        <v>4166.666666666667</v>
      </c>
    </row>
    <row r="55" spans="1:16" x14ac:dyDescent="0.2">
      <c r="A55" s="30">
        <v>44438</v>
      </c>
      <c r="B55">
        <v>122</v>
      </c>
      <c r="C55">
        <v>7.1</v>
      </c>
      <c r="D55" s="45">
        <v>30</v>
      </c>
      <c r="E55" s="45">
        <v>0.1</v>
      </c>
      <c r="F55" s="44">
        <v>10.5</v>
      </c>
      <c r="G55" s="47">
        <f t="shared" si="0"/>
        <v>10.5</v>
      </c>
      <c r="H55" s="44">
        <v>13.5</v>
      </c>
      <c r="I55" s="49">
        <f t="shared" si="1"/>
        <v>13.5</v>
      </c>
      <c r="J55" s="49">
        <f t="shared" si="2"/>
        <v>24</v>
      </c>
      <c r="K55" s="47">
        <f t="shared" si="3"/>
        <v>1750</v>
      </c>
      <c r="L55" s="47">
        <f t="shared" si="4"/>
        <v>1750</v>
      </c>
      <c r="M55" s="47">
        <f t="shared" si="5"/>
        <v>2250</v>
      </c>
      <c r="N55" s="47">
        <f t="shared" si="6"/>
        <v>2250</v>
      </c>
      <c r="O55" s="47">
        <f t="shared" si="7"/>
        <v>4000.0000000000005</v>
      </c>
      <c r="P55" s="47">
        <f t="shared" si="8"/>
        <v>4000.0000000000005</v>
      </c>
    </row>
    <row r="56" spans="1:16" x14ac:dyDescent="0.2">
      <c r="A56" s="30">
        <v>44440</v>
      </c>
      <c r="B56">
        <v>124</v>
      </c>
      <c r="C56">
        <v>7.1</v>
      </c>
      <c r="D56" s="45">
        <v>30</v>
      </c>
      <c r="E56" s="45">
        <v>0.1</v>
      </c>
      <c r="F56" s="44">
        <v>10.8</v>
      </c>
      <c r="G56" s="47">
        <f t="shared" si="0"/>
        <v>10.8</v>
      </c>
      <c r="H56" s="44">
        <v>12.5</v>
      </c>
      <c r="I56" s="49">
        <f t="shared" si="1"/>
        <v>12.5</v>
      </c>
      <c r="J56" s="49">
        <f t="shared" si="2"/>
        <v>23.3</v>
      </c>
      <c r="K56" s="47">
        <f t="shared" si="3"/>
        <v>1800</v>
      </c>
      <c r="L56" s="47">
        <f t="shared" si="4"/>
        <v>1800</v>
      </c>
      <c r="M56" s="47">
        <f t="shared" si="5"/>
        <v>2083.3333333333335</v>
      </c>
      <c r="N56" s="47">
        <f t="shared" si="6"/>
        <v>2083.3333333333335</v>
      </c>
      <c r="O56" s="47">
        <f t="shared" si="7"/>
        <v>3883.3333333333335</v>
      </c>
      <c r="P56" s="47">
        <f t="shared" si="8"/>
        <v>3883.3333333333335</v>
      </c>
    </row>
    <row r="57" spans="1:16" x14ac:dyDescent="0.2">
      <c r="A57" s="30">
        <v>44442</v>
      </c>
      <c r="B57">
        <v>126</v>
      </c>
      <c r="C57">
        <v>7</v>
      </c>
      <c r="D57" s="45">
        <v>30</v>
      </c>
      <c r="E57" s="45">
        <v>0.1</v>
      </c>
      <c r="F57" s="44">
        <v>12.5</v>
      </c>
      <c r="G57" s="47">
        <f t="shared" si="0"/>
        <v>12.5</v>
      </c>
      <c r="H57" s="44">
        <v>11.5</v>
      </c>
      <c r="I57" s="49">
        <f t="shared" si="1"/>
        <v>11.5</v>
      </c>
      <c r="J57" s="49">
        <f t="shared" si="2"/>
        <v>24</v>
      </c>
      <c r="K57" s="47">
        <f t="shared" si="3"/>
        <v>2083.3333333333335</v>
      </c>
      <c r="L57" s="47">
        <f t="shared" si="4"/>
        <v>2083.3333333333335</v>
      </c>
      <c r="M57" s="47">
        <f t="shared" si="5"/>
        <v>1916.666666666667</v>
      </c>
      <c r="N57" s="47">
        <f t="shared" si="6"/>
        <v>1916.666666666667</v>
      </c>
      <c r="O57" s="47">
        <f t="shared" si="7"/>
        <v>4000.0000000000005</v>
      </c>
      <c r="P57" s="47">
        <f t="shared" si="8"/>
        <v>4000.0000000000005</v>
      </c>
    </row>
    <row r="58" spans="1:16" x14ac:dyDescent="0.2">
      <c r="A58" s="30">
        <v>44445</v>
      </c>
      <c r="B58">
        <v>129</v>
      </c>
      <c r="C58">
        <v>7.1</v>
      </c>
      <c r="D58" s="45">
        <v>30</v>
      </c>
      <c r="E58" s="45">
        <v>0.1</v>
      </c>
      <c r="F58" s="44">
        <v>13.2</v>
      </c>
      <c r="G58" s="47">
        <f t="shared" si="0"/>
        <v>13.2</v>
      </c>
      <c r="H58" s="44">
        <v>9.5</v>
      </c>
      <c r="I58" s="49">
        <f t="shared" si="1"/>
        <v>9.5</v>
      </c>
      <c r="J58" s="49">
        <f t="shared" si="2"/>
        <v>22.7</v>
      </c>
      <c r="K58" s="47">
        <f t="shared" si="3"/>
        <v>2200</v>
      </c>
      <c r="L58" s="47">
        <f t="shared" si="4"/>
        <v>2200</v>
      </c>
      <c r="M58" s="47">
        <f t="shared" si="5"/>
        <v>1583.3333333333333</v>
      </c>
      <c r="N58" s="47">
        <f t="shared" si="6"/>
        <v>1583.3333333333333</v>
      </c>
      <c r="O58" s="47">
        <f t="shared" si="7"/>
        <v>3783.3333333333335</v>
      </c>
      <c r="P58" s="47">
        <f t="shared" si="8"/>
        <v>3783.3333333333335</v>
      </c>
    </row>
    <row r="59" spans="1:16" x14ac:dyDescent="0.2">
      <c r="A59" s="30">
        <v>44447</v>
      </c>
      <c r="B59">
        <v>131</v>
      </c>
      <c r="C59">
        <v>7</v>
      </c>
      <c r="D59" s="45">
        <v>30</v>
      </c>
      <c r="E59" s="45">
        <v>0.1</v>
      </c>
      <c r="F59" s="44">
        <v>12</v>
      </c>
      <c r="G59" s="47">
        <f t="shared" si="0"/>
        <v>12</v>
      </c>
      <c r="H59" s="44">
        <v>10.9</v>
      </c>
      <c r="I59" s="49">
        <f t="shared" si="1"/>
        <v>10.9</v>
      </c>
      <c r="J59" s="49">
        <f t="shared" si="2"/>
        <v>22.9</v>
      </c>
      <c r="K59" s="47">
        <f t="shared" si="3"/>
        <v>2000.0000000000002</v>
      </c>
      <c r="L59" s="47">
        <f t="shared" si="4"/>
        <v>2000.0000000000002</v>
      </c>
      <c r="M59" s="47">
        <f t="shared" si="5"/>
        <v>1816.666666666667</v>
      </c>
      <c r="N59" s="47">
        <f t="shared" si="6"/>
        <v>1816.666666666667</v>
      </c>
      <c r="O59" s="47">
        <f t="shared" si="7"/>
        <v>3816.6666666666665</v>
      </c>
      <c r="P59" s="47">
        <f t="shared" si="8"/>
        <v>3816.6666666666665</v>
      </c>
    </row>
    <row r="60" spans="1:16" x14ac:dyDescent="0.2">
      <c r="A60" s="30">
        <v>44449</v>
      </c>
      <c r="B60">
        <v>133</v>
      </c>
      <c r="C60">
        <v>7</v>
      </c>
      <c r="D60" s="45">
        <v>30</v>
      </c>
      <c r="E60" s="45">
        <v>0.1</v>
      </c>
      <c r="F60" s="44">
        <v>13.3</v>
      </c>
      <c r="G60" s="47">
        <f t="shared" si="0"/>
        <v>13.3</v>
      </c>
      <c r="H60" s="44">
        <v>9.8000000000000007</v>
      </c>
      <c r="I60" s="49">
        <f t="shared" si="1"/>
        <v>9.8000000000000007</v>
      </c>
      <c r="J60" s="49">
        <f t="shared" si="2"/>
        <v>23.1</v>
      </c>
      <c r="K60" s="47">
        <f t="shared" si="3"/>
        <v>2216.6666666666665</v>
      </c>
      <c r="L60" s="47">
        <f t="shared" si="4"/>
        <v>2216.6666666666665</v>
      </c>
      <c r="M60" s="47">
        <f t="shared" si="5"/>
        <v>1633.3333333333335</v>
      </c>
      <c r="N60" s="47">
        <f t="shared" si="6"/>
        <v>1633.3333333333335</v>
      </c>
      <c r="O60" s="47">
        <f t="shared" si="7"/>
        <v>3850</v>
      </c>
      <c r="P60" s="47">
        <f t="shared" si="8"/>
        <v>3850</v>
      </c>
    </row>
    <row r="61" spans="1:16" x14ac:dyDescent="0.2">
      <c r="A61" s="30">
        <v>44452</v>
      </c>
      <c r="B61">
        <v>136</v>
      </c>
      <c r="C61">
        <v>7</v>
      </c>
      <c r="D61" s="45">
        <v>30</v>
      </c>
      <c r="E61" s="45">
        <v>0.1</v>
      </c>
      <c r="F61" s="44">
        <v>12.8</v>
      </c>
      <c r="G61" s="47">
        <f t="shared" si="0"/>
        <v>12.8</v>
      </c>
      <c r="H61" s="44">
        <v>10.199999999999999</v>
      </c>
      <c r="I61" s="49">
        <f t="shared" si="1"/>
        <v>10.199999999999999</v>
      </c>
      <c r="J61" s="49">
        <f t="shared" si="2"/>
        <v>23</v>
      </c>
      <c r="K61" s="47">
        <f t="shared" si="3"/>
        <v>2133.3333333333339</v>
      </c>
      <c r="L61" s="47">
        <f t="shared" si="4"/>
        <v>2133.3333333333339</v>
      </c>
      <c r="M61" s="47">
        <f t="shared" si="5"/>
        <v>1700</v>
      </c>
      <c r="N61" s="47">
        <f t="shared" si="6"/>
        <v>1700</v>
      </c>
      <c r="O61" s="47">
        <f t="shared" si="7"/>
        <v>3833.3333333333339</v>
      </c>
      <c r="P61" s="47">
        <f t="shared" si="8"/>
        <v>3833.3333333333339</v>
      </c>
    </row>
    <row r="62" spans="1:16" x14ac:dyDescent="0.2">
      <c r="A62" s="30">
        <v>44454</v>
      </c>
      <c r="B62">
        <v>138</v>
      </c>
      <c r="C62">
        <v>7</v>
      </c>
      <c r="D62" s="45">
        <v>30</v>
      </c>
      <c r="E62" s="45">
        <v>0.1</v>
      </c>
      <c r="F62" s="44">
        <v>11.8</v>
      </c>
      <c r="G62" s="47">
        <f t="shared" si="0"/>
        <v>11.8</v>
      </c>
      <c r="H62" s="44">
        <v>10.7</v>
      </c>
      <c r="I62" s="49">
        <f t="shared" si="1"/>
        <v>10.7</v>
      </c>
      <c r="J62" s="49">
        <f t="shared" si="2"/>
        <v>22.5</v>
      </c>
      <c r="K62" s="47">
        <f t="shared" si="3"/>
        <v>1966.666666666667</v>
      </c>
      <c r="L62" s="47">
        <f t="shared" si="4"/>
        <v>1966.666666666667</v>
      </c>
      <c r="M62" s="47">
        <f t="shared" si="5"/>
        <v>1783.3333333333333</v>
      </c>
      <c r="N62" s="47">
        <f t="shared" si="6"/>
        <v>1783.3333333333333</v>
      </c>
      <c r="O62" s="47">
        <f t="shared" si="7"/>
        <v>3750</v>
      </c>
      <c r="P62" s="47">
        <f t="shared" si="8"/>
        <v>3750</v>
      </c>
    </row>
    <row r="63" spans="1:16" x14ac:dyDescent="0.2">
      <c r="A63" s="30">
        <v>44456</v>
      </c>
      <c r="B63">
        <v>140</v>
      </c>
      <c r="C63">
        <v>7</v>
      </c>
      <c r="D63" s="45">
        <v>30</v>
      </c>
      <c r="E63" s="45">
        <v>0.1</v>
      </c>
      <c r="F63" s="44">
        <v>13</v>
      </c>
      <c r="G63" s="47">
        <f t="shared" si="0"/>
        <v>13</v>
      </c>
      <c r="H63" s="44">
        <v>8.3000000000000007</v>
      </c>
      <c r="I63" s="49">
        <f t="shared" si="1"/>
        <v>8.3000000000000007</v>
      </c>
      <c r="J63" s="49">
        <f t="shared" si="2"/>
        <v>21.3</v>
      </c>
      <c r="K63" s="47">
        <f t="shared" si="3"/>
        <v>2166.6666666666665</v>
      </c>
      <c r="L63" s="47">
        <f t="shared" si="4"/>
        <v>2166.6666666666665</v>
      </c>
      <c r="M63" s="47">
        <f t="shared" si="5"/>
        <v>1383.3333333333333</v>
      </c>
      <c r="N63" s="47">
        <f t="shared" si="6"/>
        <v>1383.3333333333333</v>
      </c>
      <c r="O63" s="47">
        <f t="shared" si="7"/>
        <v>3550.0000000000005</v>
      </c>
      <c r="P63" s="47">
        <f t="shared" si="8"/>
        <v>3550.0000000000005</v>
      </c>
    </row>
    <row r="64" spans="1:16" x14ac:dyDescent="0.2">
      <c r="A64" s="30">
        <v>44459</v>
      </c>
      <c r="B64">
        <v>143</v>
      </c>
      <c r="C64">
        <v>7</v>
      </c>
      <c r="D64" s="45">
        <v>30</v>
      </c>
      <c r="E64" s="45">
        <v>0.1</v>
      </c>
      <c r="F64" s="44">
        <v>13.8</v>
      </c>
      <c r="G64" s="47">
        <f t="shared" si="0"/>
        <v>13.8</v>
      </c>
      <c r="H64" s="44">
        <v>9.1999999999999993</v>
      </c>
      <c r="I64" s="49">
        <f t="shared" si="1"/>
        <v>9.1999999999999993</v>
      </c>
      <c r="J64" s="49">
        <f t="shared" si="2"/>
        <v>23</v>
      </c>
      <c r="K64" s="47">
        <f t="shared" si="3"/>
        <v>2300</v>
      </c>
      <c r="L64" s="47">
        <f t="shared" si="4"/>
        <v>2300</v>
      </c>
      <c r="M64" s="47">
        <f t="shared" si="5"/>
        <v>1533.3333333333333</v>
      </c>
      <c r="N64" s="47">
        <f t="shared" si="6"/>
        <v>1533.3333333333333</v>
      </c>
      <c r="O64" s="47">
        <f t="shared" si="7"/>
        <v>3833.3333333333339</v>
      </c>
      <c r="P64" s="47">
        <f t="shared" si="8"/>
        <v>3833.3333333333339</v>
      </c>
    </row>
    <row r="65" spans="1:16" x14ac:dyDescent="0.2">
      <c r="A65" s="30">
        <v>44461</v>
      </c>
      <c r="B65">
        <v>145</v>
      </c>
      <c r="C65">
        <v>6.8</v>
      </c>
      <c r="D65" s="45">
        <v>30</v>
      </c>
      <c r="E65" s="45">
        <v>0.1</v>
      </c>
      <c r="F65" s="44">
        <v>12.3</v>
      </c>
      <c r="G65" s="47">
        <f t="shared" si="0"/>
        <v>12.3</v>
      </c>
      <c r="H65" s="44">
        <v>8.1999999999999993</v>
      </c>
      <c r="I65" s="49">
        <f t="shared" si="1"/>
        <v>8.1999999999999993</v>
      </c>
      <c r="J65" s="49">
        <f t="shared" si="2"/>
        <v>20.5</v>
      </c>
      <c r="K65" s="47">
        <f t="shared" si="3"/>
        <v>2050.0000000000005</v>
      </c>
      <c r="L65" s="47">
        <f t="shared" si="4"/>
        <v>2050.0000000000005</v>
      </c>
      <c r="M65" s="47">
        <f t="shared" si="5"/>
        <v>1366.6666666666667</v>
      </c>
      <c r="N65" s="47">
        <f t="shared" si="6"/>
        <v>1366.6666666666667</v>
      </c>
      <c r="O65" s="47">
        <f t="shared" si="7"/>
        <v>3416.666666666667</v>
      </c>
      <c r="P65" s="47">
        <f t="shared" si="8"/>
        <v>3416.666666666667</v>
      </c>
    </row>
    <row r="66" spans="1:16" x14ac:dyDescent="0.2">
      <c r="A66" s="30">
        <v>44463</v>
      </c>
      <c r="B66">
        <v>147</v>
      </c>
      <c r="C66">
        <v>6.65</v>
      </c>
      <c r="D66" s="45">
        <v>30</v>
      </c>
      <c r="E66" s="45">
        <v>0.1</v>
      </c>
      <c r="F66" s="44">
        <v>12.1</v>
      </c>
      <c r="G66" s="47">
        <f t="shared" si="0"/>
        <v>12.1</v>
      </c>
      <c r="H66" s="44">
        <v>9.4</v>
      </c>
      <c r="I66" s="49">
        <f t="shared" si="1"/>
        <v>9.4</v>
      </c>
      <c r="J66" s="49">
        <f t="shared" si="2"/>
        <v>21.5</v>
      </c>
      <c r="K66" s="47">
        <f t="shared" si="3"/>
        <v>2016.6666666666667</v>
      </c>
      <c r="L66" s="47">
        <f t="shared" si="4"/>
        <v>2016.6666666666667</v>
      </c>
      <c r="M66" s="47">
        <f t="shared" si="5"/>
        <v>1566.6666666666667</v>
      </c>
      <c r="N66" s="47">
        <f t="shared" si="6"/>
        <v>1566.6666666666667</v>
      </c>
      <c r="O66" s="47">
        <f t="shared" si="7"/>
        <v>3583.3333333333335</v>
      </c>
      <c r="P66" s="47">
        <f t="shared" si="8"/>
        <v>3583.3333333333335</v>
      </c>
    </row>
    <row r="67" spans="1:16" x14ac:dyDescent="0.2">
      <c r="A67" s="30">
        <v>44466</v>
      </c>
      <c r="B67">
        <v>150</v>
      </c>
      <c r="C67">
        <v>6.5</v>
      </c>
      <c r="D67" s="45">
        <v>30</v>
      </c>
      <c r="E67" s="45">
        <v>0.1</v>
      </c>
      <c r="F67" s="44">
        <v>15.5</v>
      </c>
      <c r="G67" s="47">
        <f t="shared" si="0"/>
        <v>15.5</v>
      </c>
      <c r="H67" s="44">
        <v>16.2</v>
      </c>
      <c r="I67" s="49">
        <f t="shared" si="1"/>
        <v>16.2</v>
      </c>
      <c r="J67" s="49">
        <f t="shared" si="2"/>
        <v>31.7</v>
      </c>
      <c r="K67" s="47">
        <f t="shared" si="3"/>
        <v>2583.3333333333335</v>
      </c>
      <c r="L67" s="47">
        <f t="shared" si="4"/>
        <v>2583.3333333333335</v>
      </c>
      <c r="M67" s="47">
        <f t="shared" si="5"/>
        <v>2700</v>
      </c>
      <c r="N67" s="47">
        <f t="shared" si="6"/>
        <v>2700</v>
      </c>
      <c r="O67" s="47">
        <f t="shared" si="7"/>
        <v>5283.333333333333</v>
      </c>
      <c r="P67" s="47">
        <f t="shared" si="8"/>
        <v>5283.333333333333</v>
      </c>
    </row>
    <row r="68" spans="1:16" x14ac:dyDescent="0.2">
      <c r="A68" s="30">
        <v>44468</v>
      </c>
      <c r="B68">
        <v>152</v>
      </c>
      <c r="C68">
        <v>6.65</v>
      </c>
      <c r="D68" s="45">
        <v>30</v>
      </c>
      <c r="E68" s="45">
        <v>0.1</v>
      </c>
      <c r="F68" s="44">
        <v>14.3</v>
      </c>
      <c r="G68" s="47">
        <f t="shared" si="0"/>
        <v>14.3</v>
      </c>
      <c r="H68" s="44">
        <v>15.6</v>
      </c>
      <c r="I68" s="49">
        <f t="shared" si="1"/>
        <v>15.6</v>
      </c>
      <c r="J68" s="49">
        <f t="shared" si="2"/>
        <v>29.9</v>
      </c>
      <c r="K68" s="47">
        <f t="shared" si="3"/>
        <v>2383.3333333333339</v>
      </c>
      <c r="L68" s="47">
        <f t="shared" si="4"/>
        <v>2383.3333333333339</v>
      </c>
      <c r="M68" s="47">
        <f t="shared" si="5"/>
        <v>2600</v>
      </c>
      <c r="N68" s="47">
        <f t="shared" si="6"/>
        <v>2600</v>
      </c>
      <c r="O68" s="47">
        <f t="shared" si="7"/>
        <v>4983.333333333333</v>
      </c>
      <c r="P68" s="47">
        <f t="shared" si="8"/>
        <v>4983.333333333333</v>
      </c>
    </row>
    <row r="69" spans="1:16" x14ac:dyDescent="0.2">
      <c r="A69" s="30">
        <v>44470</v>
      </c>
      <c r="B69">
        <v>154</v>
      </c>
      <c r="C69">
        <v>6.8</v>
      </c>
      <c r="D69" s="45">
        <v>30</v>
      </c>
      <c r="E69" s="45">
        <v>0.1</v>
      </c>
      <c r="F69" s="44">
        <v>15.7</v>
      </c>
      <c r="G69" s="47">
        <f t="shared" si="0"/>
        <v>15.7</v>
      </c>
      <c r="H69" s="44">
        <v>16.399999999999999</v>
      </c>
      <c r="I69" s="49">
        <f t="shared" si="1"/>
        <v>16.399999999999999</v>
      </c>
      <c r="J69" s="49">
        <f t="shared" si="2"/>
        <v>32.099999999999994</v>
      </c>
      <c r="K69" s="47">
        <f t="shared" si="3"/>
        <v>2616.6666666666665</v>
      </c>
      <c r="L69" s="47">
        <f t="shared" si="4"/>
        <v>2616.6666666666665</v>
      </c>
      <c r="M69" s="47">
        <f t="shared" si="5"/>
        <v>2733.3333333333335</v>
      </c>
      <c r="N69" s="47">
        <f t="shared" si="6"/>
        <v>2733.3333333333335</v>
      </c>
      <c r="O69" s="47">
        <f t="shared" si="7"/>
        <v>5349.9999999999991</v>
      </c>
      <c r="P69" s="47">
        <f t="shared" si="8"/>
        <v>5349.9999999999991</v>
      </c>
    </row>
    <row r="70" spans="1:16" x14ac:dyDescent="0.2">
      <c r="A70" s="30">
        <v>44473</v>
      </c>
      <c r="B70">
        <v>157</v>
      </c>
      <c r="C70">
        <v>6.85</v>
      </c>
      <c r="D70" s="45">
        <v>30</v>
      </c>
      <c r="E70" s="45">
        <v>0.1</v>
      </c>
      <c r="F70" s="44">
        <v>15.3</v>
      </c>
      <c r="G70" s="47">
        <f t="shared" ref="G70" si="9">AVERAGE(F70:F70)</f>
        <v>15.3</v>
      </c>
      <c r="H70" s="44">
        <v>16.100000000000001</v>
      </c>
      <c r="I70" s="49">
        <f t="shared" ref="I70" si="10">AVERAGE(H70:H70)</f>
        <v>16.100000000000001</v>
      </c>
      <c r="J70" s="49">
        <f t="shared" ref="J70" si="11">SUM(G70+I70)</f>
        <v>31.400000000000002</v>
      </c>
      <c r="K70" s="47">
        <f t="shared" ref="K70" si="12">((G70*E70)*50*1000)/D70</f>
        <v>2550.0000000000005</v>
      </c>
      <c r="L70" s="47">
        <f t="shared" ref="L70" si="13">AVERAGE(K70:K70)</f>
        <v>2550.0000000000005</v>
      </c>
      <c r="M70" s="47">
        <f t="shared" ref="M70" si="14">((I70*E70)*50*1000)/D70</f>
        <v>2683.3333333333339</v>
      </c>
      <c r="N70" s="47">
        <f t="shared" ref="N70" si="15">AVERAGE(M70:M70)</f>
        <v>2683.3333333333339</v>
      </c>
      <c r="O70" s="47">
        <f t="shared" ref="O70" si="16">((J70*E70)*50*1000)/D70</f>
        <v>5233.3333333333339</v>
      </c>
      <c r="P70" s="47">
        <f t="shared" ref="P70" si="17">AVERAGE(O70:O70)</f>
        <v>5233.3333333333339</v>
      </c>
    </row>
    <row r="71" spans="1:16" x14ac:dyDescent="0.2">
      <c r="N71" s="44">
        <f>AVERAGE(N3:N70)</f>
        <v>2026.7156862745092</v>
      </c>
    </row>
  </sheetData>
  <mergeCells count="3">
    <mergeCell ref="A1:A2"/>
    <mergeCell ref="B1:B2"/>
    <mergeCell ref="X4:AG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49"/>
  <sheetViews>
    <sheetView topLeftCell="AC1" zoomScale="54" zoomScaleNormal="62" workbookViewId="0">
      <selection activeCell="F20" sqref="F20"/>
    </sheetView>
  </sheetViews>
  <sheetFormatPr baseColWidth="10" defaultColWidth="40.6640625" defaultRowHeight="21" x14ac:dyDescent="0.25"/>
  <cols>
    <col min="1" max="2" width="24" style="89" customWidth="1"/>
    <col min="3" max="3" width="40.6640625" style="89"/>
    <col min="4" max="4" width="33.5" style="89" customWidth="1"/>
    <col min="5" max="6" width="40.6640625" style="89"/>
    <col min="7" max="7" width="42.83203125" style="89" customWidth="1"/>
    <col min="8" max="16384" width="40.6640625" style="89"/>
  </cols>
  <sheetData>
    <row r="1" spans="1:38" x14ac:dyDescent="0.25">
      <c r="A1" s="97" t="s">
        <v>99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x14ac:dyDescent="0.25">
      <c r="A2" s="98" t="s">
        <v>15</v>
      </c>
      <c r="B2" s="98" t="s">
        <v>57</v>
      </c>
      <c r="C2" s="98" t="s">
        <v>100</v>
      </c>
      <c r="D2" s="98" t="s">
        <v>101</v>
      </c>
      <c r="E2" s="98" t="s">
        <v>102</v>
      </c>
      <c r="F2" s="98" t="s">
        <v>103</v>
      </c>
      <c r="G2" s="98" t="s">
        <v>104</v>
      </c>
      <c r="H2" s="98"/>
      <c r="I2" s="99" t="s">
        <v>105</v>
      </c>
      <c r="J2" s="99" t="s">
        <v>106</v>
      </c>
      <c r="K2" s="99" t="s">
        <v>107</v>
      </c>
      <c r="L2" s="100" t="s">
        <v>108</v>
      </c>
      <c r="M2" s="100"/>
      <c r="N2" s="100"/>
      <c r="O2" s="100"/>
      <c r="P2" s="100"/>
      <c r="Q2" s="100"/>
      <c r="R2" s="100"/>
      <c r="S2" s="100" t="s">
        <v>67</v>
      </c>
      <c r="T2" s="99" t="s">
        <v>109</v>
      </c>
      <c r="U2" s="99" t="s">
        <v>110</v>
      </c>
      <c r="V2" s="99" t="s">
        <v>111</v>
      </c>
      <c r="W2" s="100" t="s">
        <v>112</v>
      </c>
      <c r="X2" s="100"/>
      <c r="Y2" s="100"/>
      <c r="Z2" s="100"/>
      <c r="AA2" s="100"/>
      <c r="AB2" s="100"/>
      <c r="AC2" s="100"/>
      <c r="AD2" s="100"/>
      <c r="AE2" s="100"/>
      <c r="AF2" s="98" t="s">
        <v>66</v>
      </c>
      <c r="AG2" s="98" t="s">
        <v>113</v>
      </c>
      <c r="AH2" s="98" t="s">
        <v>114</v>
      </c>
      <c r="AI2" s="98" t="s">
        <v>115</v>
      </c>
      <c r="AJ2" s="99" t="s">
        <v>116</v>
      </c>
    </row>
    <row r="3" spans="1:38" x14ac:dyDescent="0.25">
      <c r="A3" s="94">
        <v>44286</v>
      </c>
      <c r="B3" s="89">
        <v>0</v>
      </c>
      <c r="C3" s="89">
        <v>22.5</v>
      </c>
      <c r="D3" s="89">
        <v>810.06</v>
      </c>
      <c r="E3" s="89">
        <v>4310.8999999999996</v>
      </c>
      <c r="F3" s="89">
        <v>4310.8999999999996</v>
      </c>
      <c r="G3" s="89">
        <f>(F3-E3)</f>
        <v>0</v>
      </c>
      <c r="H3" s="89">
        <f>(G3/2)</f>
        <v>0</v>
      </c>
      <c r="I3" s="89">
        <f>G3</f>
        <v>0</v>
      </c>
      <c r="J3" s="89">
        <f>(I3*1000)</f>
        <v>0</v>
      </c>
      <c r="K3" s="101">
        <f>((D3*J3)/((273.15+C3)*760))*273.15</f>
        <v>0</v>
      </c>
      <c r="L3" s="101">
        <f>(K3/1000)</f>
        <v>0</v>
      </c>
      <c r="M3" s="101"/>
      <c r="N3" s="101"/>
      <c r="O3" s="101"/>
      <c r="P3" s="101"/>
      <c r="Q3" s="101">
        <f t="shared" ref="Q3:Q34" si="0">AVERAGE(L3,L79)</f>
        <v>0</v>
      </c>
      <c r="R3" s="101"/>
      <c r="S3" s="89">
        <v>0</v>
      </c>
      <c r="T3" s="89">
        <f t="shared" ref="T3:T34" si="1">(G3*S3)*10</f>
        <v>0</v>
      </c>
      <c r="U3" s="89">
        <f>T3</f>
        <v>0</v>
      </c>
      <c r="V3" s="101">
        <f t="shared" ref="V3:V34" si="2">((D3*U3)/((273.15+C3)*760))*273.15</f>
        <v>0</v>
      </c>
      <c r="W3" s="101">
        <f>(V3/1000)</f>
        <v>0</v>
      </c>
      <c r="X3" s="101">
        <f>AVERAGE(W3,W79)</f>
        <v>0</v>
      </c>
      <c r="Y3" s="101"/>
      <c r="Z3" s="101"/>
      <c r="AA3" s="101">
        <v>0</v>
      </c>
      <c r="AB3" s="101"/>
      <c r="AC3" s="101">
        <f>(AA3/2)</f>
        <v>0</v>
      </c>
      <c r="AD3" s="101">
        <f t="shared" ref="AD3:AD34" si="3">AVERAGE(W3,W79)</f>
        <v>0</v>
      </c>
      <c r="AE3" s="101">
        <f>(AD3/2)</f>
        <v>0</v>
      </c>
      <c r="AF3" s="89">
        <v>99.7</v>
      </c>
      <c r="AG3" s="102">
        <v>0.2</v>
      </c>
      <c r="AH3" s="89">
        <v>0</v>
      </c>
      <c r="AI3" s="89" t="s">
        <v>117</v>
      </c>
      <c r="AJ3" s="103">
        <f t="shared" ref="AJ3:AJ33" si="4">SUM(S3,AF3,AG3,AH3)</f>
        <v>99.9</v>
      </c>
      <c r="AK3" s="89">
        <f>AVERAGE(S3:S67)</f>
        <v>48.498461538461548</v>
      </c>
    </row>
    <row r="4" spans="1:38" x14ac:dyDescent="0.25">
      <c r="A4" s="94">
        <v>44288</v>
      </c>
      <c r="B4" s="89">
        <v>2</v>
      </c>
      <c r="C4" s="89">
        <v>24.6</v>
      </c>
      <c r="D4" s="89">
        <v>809.1</v>
      </c>
      <c r="E4" s="89">
        <v>4310.8999999999996</v>
      </c>
      <c r="F4" s="89">
        <v>4310.8999999999996</v>
      </c>
      <c r="G4" s="89">
        <f t="shared" ref="G4:G69" si="5">(F4-E4)</f>
        <v>0</v>
      </c>
      <c r="H4" s="89">
        <f t="shared" ref="H4:H69" si="6">(G4/2)</f>
        <v>0</v>
      </c>
      <c r="I4" s="89">
        <f>(I3+G4)+(F4-E4)</f>
        <v>0</v>
      </c>
      <c r="J4" s="89">
        <f t="shared" ref="J4:J68" si="7">(I4*1000)</f>
        <v>0</v>
      </c>
      <c r="K4" s="101">
        <f>((D4*J4)/((273.15+C4)*760))*273.15</f>
        <v>0</v>
      </c>
      <c r="L4" s="101">
        <f>(K4/1000)</f>
        <v>0</v>
      </c>
      <c r="M4" s="101"/>
      <c r="N4" s="101"/>
      <c r="O4" s="101"/>
      <c r="P4" s="101"/>
      <c r="Q4" s="101">
        <f t="shared" si="0"/>
        <v>0</v>
      </c>
      <c r="R4" s="101"/>
      <c r="S4" s="89">
        <v>2.9</v>
      </c>
      <c r="T4" s="89">
        <f t="shared" si="1"/>
        <v>0</v>
      </c>
      <c r="U4" s="89">
        <f>U3+T4</f>
        <v>0</v>
      </c>
      <c r="V4" s="101">
        <f t="shared" si="2"/>
        <v>0</v>
      </c>
      <c r="W4" s="101">
        <f>(V4/1000)</f>
        <v>0</v>
      </c>
      <c r="X4" s="101">
        <f t="shared" ref="X4:X67" si="8">AVERAGE(W4,W80)</f>
        <v>0</v>
      </c>
      <c r="Y4" s="101"/>
      <c r="Z4" s="101"/>
      <c r="AA4" s="101">
        <f t="shared" ref="AA4:AA35" si="9">(W4-W3)</f>
        <v>0</v>
      </c>
      <c r="AB4" s="101"/>
      <c r="AC4" s="101">
        <f t="shared" ref="AC4:AC67" si="10">(AA4/2)</f>
        <v>0</v>
      </c>
      <c r="AD4" s="101">
        <f t="shared" si="3"/>
        <v>0</v>
      </c>
      <c r="AE4" s="101">
        <f t="shared" ref="AE4:AE67" si="11">(AD4/2)</f>
        <v>0</v>
      </c>
      <c r="AF4" s="89">
        <v>97.5</v>
      </c>
      <c r="AG4" s="89">
        <v>0.1</v>
      </c>
      <c r="AH4" s="89">
        <v>0</v>
      </c>
      <c r="AI4" s="89" t="s">
        <v>117</v>
      </c>
      <c r="AJ4" s="103">
        <f t="shared" si="4"/>
        <v>100.5</v>
      </c>
    </row>
    <row r="5" spans="1:38" x14ac:dyDescent="0.25">
      <c r="A5" s="94">
        <v>44291</v>
      </c>
      <c r="B5" s="89">
        <v>5</v>
      </c>
      <c r="C5" s="89">
        <v>20</v>
      </c>
      <c r="D5" s="89">
        <v>768.06</v>
      </c>
      <c r="E5" s="89">
        <v>4310.8999999999996</v>
      </c>
      <c r="F5" s="89">
        <v>4310.8999999999996</v>
      </c>
      <c r="G5" s="89">
        <f>(F5-E5)</f>
        <v>0</v>
      </c>
      <c r="H5" s="89">
        <f t="shared" si="6"/>
        <v>0</v>
      </c>
      <c r="I5" s="89">
        <f>(I4+G5)+(F5-E5)</f>
        <v>0</v>
      </c>
      <c r="J5" s="89">
        <f>(I5*1000)</f>
        <v>0</v>
      </c>
      <c r="K5" s="101">
        <f>((D5*J5)/((273.15+C5)*760))*273.15</f>
        <v>0</v>
      </c>
      <c r="L5" s="101">
        <f>(K5/1000)</f>
        <v>0</v>
      </c>
      <c r="M5" s="101"/>
      <c r="N5" s="101"/>
      <c r="O5" s="101"/>
      <c r="P5" s="101"/>
      <c r="Q5" s="101">
        <f t="shared" si="0"/>
        <v>0</v>
      </c>
      <c r="R5" s="101"/>
      <c r="S5" s="89">
        <v>2.9</v>
      </c>
      <c r="T5" s="89">
        <f t="shared" si="1"/>
        <v>0</v>
      </c>
      <c r="U5" s="89">
        <f t="shared" ref="U5:U68" si="12">U4+T5</f>
        <v>0</v>
      </c>
      <c r="V5" s="101">
        <f t="shared" si="2"/>
        <v>0</v>
      </c>
      <c r="W5" s="101">
        <f t="shared" ref="W5:W32" si="13">(V5/1000)</f>
        <v>0</v>
      </c>
      <c r="X5" s="101">
        <f t="shared" si="8"/>
        <v>0</v>
      </c>
      <c r="Y5" s="101"/>
      <c r="Z5" s="101"/>
      <c r="AA5" s="101">
        <f t="shared" si="9"/>
        <v>0</v>
      </c>
      <c r="AB5" s="101"/>
      <c r="AC5" s="101">
        <f t="shared" si="10"/>
        <v>0</v>
      </c>
      <c r="AD5" s="101">
        <f t="shared" si="3"/>
        <v>0</v>
      </c>
      <c r="AE5" s="101">
        <f t="shared" si="11"/>
        <v>0</v>
      </c>
      <c r="AF5" s="89">
        <v>96.1</v>
      </c>
      <c r="AG5" s="89">
        <v>0.2</v>
      </c>
      <c r="AH5" s="89">
        <v>0</v>
      </c>
      <c r="AI5" s="89" t="s">
        <v>117</v>
      </c>
      <c r="AJ5" s="103">
        <f t="shared" si="4"/>
        <v>99.2</v>
      </c>
    </row>
    <row r="6" spans="1:38" x14ac:dyDescent="0.25">
      <c r="A6" s="94">
        <v>44293</v>
      </c>
      <c r="B6" s="89">
        <v>7</v>
      </c>
      <c r="C6" s="89">
        <v>21</v>
      </c>
      <c r="D6" s="89">
        <v>774.51</v>
      </c>
      <c r="E6" s="89">
        <v>4310.8999999999996</v>
      </c>
      <c r="F6" s="89">
        <v>4310.8999999999996</v>
      </c>
      <c r="G6" s="89">
        <f t="shared" si="5"/>
        <v>0</v>
      </c>
      <c r="H6" s="89">
        <f t="shared" si="6"/>
        <v>0</v>
      </c>
      <c r="I6" s="89">
        <f>(I5+G6)+(F6-E6)</f>
        <v>0</v>
      </c>
      <c r="J6" s="89">
        <f t="shared" si="7"/>
        <v>0</v>
      </c>
      <c r="K6" s="101">
        <f t="shared" ref="K6:K32" si="14">((D6*J6)/((273.15+C6)*760))*273.15</f>
        <v>0</v>
      </c>
      <c r="L6" s="101">
        <f t="shared" ref="L6:L32" si="15">(K6/1000)</f>
        <v>0</v>
      </c>
      <c r="M6" s="101"/>
      <c r="N6" s="101"/>
      <c r="O6" s="101"/>
      <c r="P6" s="101"/>
      <c r="Q6" s="101">
        <f t="shared" si="0"/>
        <v>0</v>
      </c>
      <c r="R6" s="101"/>
      <c r="S6" s="89">
        <v>10.7</v>
      </c>
      <c r="T6" s="89">
        <f t="shared" si="1"/>
        <v>0</v>
      </c>
      <c r="U6" s="89">
        <f t="shared" si="12"/>
        <v>0</v>
      </c>
      <c r="V6" s="101">
        <f t="shared" si="2"/>
        <v>0</v>
      </c>
      <c r="W6" s="101">
        <f>(V6/1000)</f>
        <v>0</v>
      </c>
      <c r="X6" s="101">
        <f t="shared" si="8"/>
        <v>0</v>
      </c>
      <c r="Y6" s="101"/>
      <c r="Z6" s="101"/>
      <c r="AA6" s="101">
        <f t="shared" si="9"/>
        <v>0</v>
      </c>
      <c r="AB6" s="101"/>
      <c r="AC6" s="101">
        <f t="shared" si="10"/>
        <v>0</v>
      </c>
      <c r="AD6" s="101">
        <f t="shared" si="3"/>
        <v>0</v>
      </c>
      <c r="AE6" s="101">
        <f t="shared" si="11"/>
        <v>0</v>
      </c>
      <c r="AF6" s="89">
        <v>93.1</v>
      </c>
      <c r="AG6" s="89">
        <v>1</v>
      </c>
      <c r="AH6" s="89">
        <v>0.3</v>
      </c>
      <c r="AI6" s="89">
        <v>3253</v>
      </c>
      <c r="AJ6" s="103">
        <f t="shared" si="4"/>
        <v>105.1</v>
      </c>
    </row>
    <row r="7" spans="1:38" x14ac:dyDescent="0.25">
      <c r="A7" s="94">
        <v>44295</v>
      </c>
      <c r="B7" s="89">
        <v>9</v>
      </c>
      <c r="C7" s="89">
        <v>21.5</v>
      </c>
      <c r="D7" s="89">
        <v>769.56</v>
      </c>
      <c r="E7" s="89">
        <v>4310.8999999999996</v>
      </c>
      <c r="F7" s="89">
        <v>4310.8999999999996</v>
      </c>
      <c r="G7" s="89">
        <f t="shared" si="5"/>
        <v>0</v>
      </c>
      <c r="H7" s="89">
        <f t="shared" si="6"/>
        <v>0</v>
      </c>
      <c r="I7" s="89">
        <f>(I6+G7)+(F7-E7)</f>
        <v>0</v>
      </c>
      <c r="J7" s="89">
        <f t="shared" si="7"/>
        <v>0</v>
      </c>
      <c r="K7" s="101">
        <f t="shared" si="14"/>
        <v>0</v>
      </c>
      <c r="L7" s="101">
        <f t="shared" si="15"/>
        <v>0</v>
      </c>
      <c r="M7" s="101"/>
      <c r="N7" s="101"/>
      <c r="O7" s="101"/>
      <c r="P7" s="101"/>
      <c r="Q7" s="101">
        <f t="shared" si="0"/>
        <v>0</v>
      </c>
      <c r="R7" s="101"/>
      <c r="S7" s="89">
        <v>16.899999999999999</v>
      </c>
      <c r="T7" s="89">
        <f t="shared" si="1"/>
        <v>0</v>
      </c>
      <c r="U7" s="89">
        <f t="shared" si="12"/>
        <v>0</v>
      </c>
      <c r="V7" s="101">
        <f t="shared" si="2"/>
        <v>0</v>
      </c>
      <c r="W7" s="101">
        <f t="shared" si="13"/>
        <v>0</v>
      </c>
      <c r="X7" s="101">
        <f t="shared" si="8"/>
        <v>0</v>
      </c>
      <c r="Y7" s="101"/>
      <c r="Z7" s="101"/>
      <c r="AA7" s="101">
        <f t="shared" si="9"/>
        <v>0</v>
      </c>
      <c r="AB7" s="101">
        <f>AVERAGE(AA12:AA42)</f>
        <v>3.9018191652349912</v>
      </c>
      <c r="AC7" s="101">
        <f t="shared" si="10"/>
        <v>0</v>
      </c>
      <c r="AD7" s="101">
        <f t="shared" si="3"/>
        <v>0</v>
      </c>
      <c r="AE7" s="101">
        <f t="shared" si="11"/>
        <v>0</v>
      </c>
      <c r="AF7" s="89">
        <v>87.6</v>
      </c>
      <c r="AG7" s="89">
        <v>1.3</v>
      </c>
      <c r="AH7" s="89">
        <v>5.0999999999999996</v>
      </c>
      <c r="AI7" s="89">
        <v>2801</v>
      </c>
      <c r="AJ7" s="103">
        <f t="shared" si="4"/>
        <v>110.89999999999999</v>
      </c>
    </row>
    <row r="8" spans="1:38" x14ac:dyDescent="0.25">
      <c r="A8" s="94">
        <v>44298</v>
      </c>
      <c r="B8" s="89">
        <v>12</v>
      </c>
      <c r="C8" s="89">
        <v>19.8</v>
      </c>
      <c r="D8" s="89">
        <v>768.81</v>
      </c>
      <c r="E8" s="89">
        <v>4310.8999999999996</v>
      </c>
      <c r="F8" s="89">
        <v>4310.8999999999996</v>
      </c>
      <c r="G8" s="89">
        <f t="shared" si="5"/>
        <v>0</v>
      </c>
      <c r="H8" s="89">
        <f t="shared" si="6"/>
        <v>0</v>
      </c>
      <c r="I8" s="89">
        <f t="shared" ref="I8:I31" si="16">(I7+G8)+(F8-E8)</f>
        <v>0</v>
      </c>
      <c r="J8" s="89">
        <f t="shared" si="7"/>
        <v>0</v>
      </c>
      <c r="K8" s="101">
        <f t="shared" si="14"/>
        <v>0</v>
      </c>
      <c r="L8" s="101">
        <f t="shared" si="15"/>
        <v>0</v>
      </c>
      <c r="M8" s="101"/>
      <c r="N8" s="101"/>
      <c r="O8" s="101"/>
      <c r="P8" s="101"/>
      <c r="Q8" s="101">
        <f t="shared" si="0"/>
        <v>0</v>
      </c>
      <c r="R8" s="101"/>
      <c r="S8" s="89">
        <v>19.100000000000001</v>
      </c>
      <c r="T8" s="89">
        <f t="shared" si="1"/>
        <v>0</v>
      </c>
      <c r="U8" s="89">
        <f t="shared" si="12"/>
        <v>0</v>
      </c>
      <c r="V8" s="101">
        <f t="shared" si="2"/>
        <v>0</v>
      </c>
      <c r="W8" s="101">
        <f t="shared" si="13"/>
        <v>0</v>
      </c>
      <c r="X8" s="101">
        <f t="shared" si="8"/>
        <v>0</v>
      </c>
      <c r="Y8" s="101"/>
      <c r="Z8" s="101"/>
      <c r="AA8" s="101">
        <f t="shared" si="9"/>
        <v>0</v>
      </c>
      <c r="AB8" s="101"/>
      <c r="AC8" s="101">
        <f t="shared" si="10"/>
        <v>0</v>
      </c>
      <c r="AD8" s="101">
        <f t="shared" si="3"/>
        <v>0</v>
      </c>
      <c r="AE8" s="101">
        <f t="shared" si="11"/>
        <v>0</v>
      </c>
      <c r="AF8" s="89">
        <v>71.8</v>
      </c>
      <c r="AG8" s="89">
        <v>2.1</v>
      </c>
      <c r="AH8" s="89">
        <v>0</v>
      </c>
      <c r="AI8" s="89">
        <v>1217</v>
      </c>
      <c r="AJ8" s="103">
        <f t="shared" si="4"/>
        <v>93</v>
      </c>
    </row>
    <row r="9" spans="1:38" x14ac:dyDescent="0.25">
      <c r="A9" s="94">
        <v>44300</v>
      </c>
      <c r="B9" s="89">
        <v>14</v>
      </c>
      <c r="C9" s="89">
        <v>18.5</v>
      </c>
      <c r="D9" s="89">
        <v>767.35</v>
      </c>
      <c r="E9" s="89">
        <v>4310.8999999999996</v>
      </c>
      <c r="F9" s="89">
        <v>4311.8999999999996</v>
      </c>
      <c r="G9" s="89">
        <f>(F9-E9)</f>
        <v>1</v>
      </c>
      <c r="H9" s="89">
        <f>(G9/2)</f>
        <v>0.5</v>
      </c>
      <c r="I9" s="89">
        <f>(I8+G9)+(F9-E9)</f>
        <v>2</v>
      </c>
      <c r="J9" s="89">
        <f t="shared" si="7"/>
        <v>2000</v>
      </c>
      <c r="K9" s="101">
        <f t="shared" si="14"/>
        <v>1891.2508007976396</v>
      </c>
      <c r="L9" s="101">
        <f t="shared" si="15"/>
        <v>1.8912508007976396</v>
      </c>
      <c r="M9" s="101"/>
      <c r="N9" s="101"/>
      <c r="O9" s="101"/>
      <c r="P9" s="101"/>
      <c r="Q9" s="101">
        <f t="shared" si="0"/>
        <v>0.94562540039881982</v>
      </c>
      <c r="R9" s="101"/>
      <c r="S9" s="89">
        <v>22.2</v>
      </c>
      <c r="T9" s="89">
        <f t="shared" si="1"/>
        <v>222</v>
      </c>
      <c r="U9" s="89">
        <f t="shared" si="12"/>
        <v>222</v>
      </c>
      <c r="V9" s="101">
        <f t="shared" si="2"/>
        <v>209.92883888853802</v>
      </c>
      <c r="W9" s="101">
        <f>(V9/1000)</f>
        <v>0.20992883888853803</v>
      </c>
      <c r="X9" s="101">
        <f t="shared" si="8"/>
        <v>0.10496441944426901</v>
      </c>
      <c r="Y9" s="101"/>
      <c r="Z9" s="101"/>
      <c r="AA9" s="101">
        <f t="shared" si="9"/>
        <v>0.20992883888853803</v>
      </c>
      <c r="AB9" s="101"/>
      <c r="AC9" s="101">
        <f t="shared" si="10"/>
        <v>0.10496441944426901</v>
      </c>
      <c r="AD9" s="101">
        <f t="shared" si="3"/>
        <v>0.10496441944426901</v>
      </c>
      <c r="AE9" s="101">
        <f t="shared" si="11"/>
        <v>5.2482209722134507E-2</v>
      </c>
      <c r="AF9" s="89">
        <v>50</v>
      </c>
      <c r="AG9" s="89">
        <v>0.4</v>
      </c>
      <c r="AH9" s="89">
        <v>0</v>
      </c>
      <c r="AI9" s="89">
        <v>925</v>
      </c>
      <c r="AJ9" s="103">
        <f t="shared" si="4"/>
        <v>72.600000000000009</v>
      </c>
      <c r="AL9" s="89">
        <f>AVERAGE(S3:S44)</f>
        <v>43.973809523809521</v>
      </c>
    </row>
    <row r="10" spans="1:38" x14ac:dyDescent="0.25">
      <c r="A10" s="94">
        <v>44302</v>
      </c>
      <c r="B10" s="89">
        <v>16</v>
      </c>
      <c r="C10" s="89">
        <v>24.2</v>
      </c>
      <c r="D10" s="89">
        <v>767.31</v>
      </c>
      <c r="E10" s="89">
        <v>4311.8999999999996</v>
      </c>
      <c r="F10" s="89">
        <v>4313.3</v>
      </c>
      <c r="G10" s="89">
        <f t="shared" si="5"/>
        <v>1.4000000000005457</v>
      </c>
      <c r="H10" s="89">
        <f>(G10/2)</f>
        <v>0.70000000000027285</v>
      </c>
      <c r="I10" s="89">
        <f>(I9+G10)+(F10-E10)</f>
        <v>4.8000000000010914</v>
      </c>
      <c r="J10" s="89">
        <f t="shared" si="7"/>
        <v>4800.0000000010914</v>
      </c>
      <c r="K10" s="101">
        <f t="shared" si="14"/>
        <v>4451.7602293957534</v>
      </c>
      <c r="L10" s="101">
        <f>(K10/1000)</f>
        <v>4.4517602293957532</v>
      </c>
      <c r="M10" s="101"/>
      <c r="N10" s="101"/>
      <c r="O10" s="101"/>
      <c r="P10" s="101"/>
      <c r="Q10" s="101">
        <f t="shared" si="0"/>
        <v>2.2258801146978766</v>
      </c>
      <c r="R10" s="101"/>
      <c r="S10" s="89">
        <v>23.5</v>
      </c>
      <c r="T10" s="89">
        <f t="shared" si="1"/>
        <v>329.00000000012824</v>
      </c>
      <c r="U10" s="89">
        <f t="shared" si="12"/>
        <v>551.00000000012824</v>
      </c>
      <c r="V10" s="101">
        <f t="shared" si="2"/>
        <v>511.02497633272361</v>
      </c>
      <c r="W10" s="101">
        <f t="shared" si="13"/>
        <v>0.51102497633272359</v>
      </c>
      <c r="X10" s="101">
        <f t="shared" si="8"/>
        <v>0.2555124881663618</v>
      </c>
      <c r="Y10" s="101"/>
      <c r="Z10" s="101"/>
      <c r="AA10" s="101">
        <f t="shared" si="9"/>
        <v>0.30109613744418556</v>
      </c>
      <c r="AB10" s="101"/>
      <c r="AC10" s="101">
        <f t="shared" si="10"/>
        <v>0.15054806872209278</v>
      </c>
      <c r="AD10" s="101">
        <f t="shared" si="3"/>
        <v>0.2555124881663618</v>
      </c>
      <c r="AE10" s="101">
        <f t="shared" si="11"/>
        <v>0.1277562440831809</v>
      </c>
      <c r="AF10" s="89">
        <v>50.3</v>
      </c>
      <c r="AG10" s="89">
        <v>0.3</v>
      </c>
      <c r="AH10" s="89">
        <v>0</v>
      </c>
      <c r="AI10" s="89">
        <v>1105</v>
      </c>
      <c r="AJ10" s="103">
        <f t="shared" si="4"/>
        <v>74.099999999999994</v>
      </c>
    </row>
    <row r="11" spans="1:38" x14ac:dyDescent="0.25">
      <c r="A11" s="94">
        <v>44305</v>
      </c>
      <c r="B11" s="89">
        <v>19</v>
      </c>
      <c r="C11" s="89">
        <v>20.5</v>
      </c>
      <c r="D11" s="89">
        <v>769.56</v>
      </c>
      <c r="E11" s="89">
        <v>4313.3</v>
      </c>
      <c r="F11" s="89">
        <v>4314.7</v>
      </c>
      <c r="G11" s="89">
        <f t="shared" si="5"/>
        <v>1.3999999999996362</v>
      </c>
      <c r="H11" s="89">
        <f t="shared" si="6"/>
        <v>0.6999999999998181</v>
      </c>
      <c r="I11" s="89">
        <f>(I10+G11)+(F11-E11)</f>
        <v>7.6000000000003638</v>
      </c>
      <c r="J11" s="89">
        <f t="shared" si="7"/>
        <v>7600.0000000003638</v>
      </c>
      <c r="K11" s="101">
        <f t="shared" si="14"/>
        <v>7158.3624723313478</v>
      </c>
      <c r="L11" s="101">
        <f t="shared" si="15"/>
        <v>7.1583624723313477</v>
      </c>
      <c r="M11" s="101"/>
      <c r="N11" s="101"/>
      <c r="O11" s="101"/>
      <c r="P11" s="101"/>
      <c r="Q11" s="101">
        <f t="shared" si="0"/>
        <v>3.5791812361656739</v>
      </c>
      <c r="R11" s="101"/>
      <c r="S11" s="89">
        <v>25.8</v>
      </c>
      <c r="T11" s="89">
        <f t="shared" si="1"/>
        <v>361.1999999999062</v>
      </c>
      <c r="U11" s="89">
        <f t="shared" si="12"/>
        <v>912.20000000003438</v>
      </c>
      <c r="V11" s="101">
        <f t="shared" si="2"/>
        <v>859.19187463955132</v>
      </c>
      <c r="W11" s="101">
        <f>(V11/1000)</f>
        <v>0.85919187463955127</v>
      </c>
      <c r="X11" s="101">
        <f t="shared" si="8"/>
        <v>0.42959593731977563</v>
      </c>
      <c r="Y11" s="101"/>
      <c r="Z11" s="101"/>
      <c r="AA11" s="101">
        <f>(W11-W10)</f>
        <v>0.34816689830682768</v>
      </c>
      <c r="AB11" s="101"/>
      <c r="AC11" s="101">
        <f>(AA11/2)</f>
        <v>0.17408344915341384</v>
      </c>
      <c r="AD11" s="101">
        <f t="shared" si="3"/>
        <v>0.42959593731977563</v>
      </c>
      <c r="AE11" s="101">
        <f t="shared" si="11"/>
        <v>0.21479796865988782</v>
      </c>
      <c r="AF11" s="89">
        <v>47.4</v>
      </c>
      <c r="AG11" s="89">
        <v>0.1</v>
      </c>
      <c r="AH11" s="89">
        <v>0</v>
      </c>
      <c r="AI11" s="89">
        <v>1417</v>
      </c>
      <c r="AJ11" s="103">
        <f t="shared" si="4"/>
        <v>73.3</v>
      </c>
    </row>
    <row r="12" spans="1:38" x14ac:dyDescent="0.25">
      <c r="A12" s="94">
        <v>44307</v>
      </c>
      <c r="B12" s="89">
        <v>21</v>
      </c>
      <c r="C12" s="89">
        <v>22.8</v>
      </c>
      <c r="D12" s="89">
        <v>768.06</v>
      </c>
      <c r="E12" s="89">
        <v>4314.7</v>
      </c>
      <c r="F12" s="89">
        <v>4316.7</v>
      </c>
      <c r="G12" s="89">
        <f t="shared" si="5"/>
        <v>2</v>
      </c>
      <c r="H12" s="89">
        <f t="shared" si="6"/>
        <v>1</v>
      </c>
      <c r="I12" s="89">
        <f t="shared" si="16"/>
        <v>11.600000000000364</v>
      </c>
      <c r="J12" s="89">
        <f t="shared" si="7"/>
        <v>11600.000000000364</v>
      </c>
      <c r="K12" s="101">
        <f t="shared" si="14"/>
        <v>10819.879035399277</v>
      </c>
      <c r="L12" s="101">
        <f t="shared" si="15"/>
        <v>10.819879035399277</v>
      </c>
      <c r="M12" s="101"/>
      <c r="N12" s="101"/>
      <c r="O12" s="101">
        <f>AVERAGE(L12:L42)</f>
        <v>202.44893643155174</v>
      </c>
      <c r="P12" s="101"/>
      <c r="Q12" s="101">
        <f t="shared" si="0"/>
        <v>9.1409322885268587</v>
      </c>
      <c r="R12" s="101">
        <f>AVERAGE(Q12:Q42)</f>
        <v>196.30650683203888</v>
      </c>
      <c r="S12" s="89">
        <v>27</v>
      </c>
      <c r="T12" s="89">
        <f t="shared" si="1"/>
        <v>540</v>
      </c>
      <c r="U12" s="89">
        <f t="shared" si="12"/>
        <v>1452.2000000000344</v>
      </c>
      <c r="V12" s="101">
        <f t="shared" si="2"/>
        <v>1354.5369254488542</v>
      </c>
      <c r="W12" s="101">
        <f t="shared" si="13"/>
        <v>1.3545369254488542</v>
      </c>
      <c r="X12" s="101">
        <f>AVERAGE(W12,W88)</f>
        <v>1.1734905012444472</v>
      </c>
      <c r="Y12" s="101"/>
      <c r="Z12" s="101"/>
      <c r="AA12" s="101">
        <f>(W12-W11)</f>
        <v>0.49534505080930291</v>
      </c>
      <c r="AB12" s="101"/>
      <c r="AC12" s="101">
        <f t="shared" si="10"/>
        <v>0.24767252540465146</v>
      </c>
      <c r="AD12" s="101">
        <f t="shared" si="3"/>
        <v>1.1734905012444472</v>
      </c>
      <c r="AE12" s="101">
        <f t="shared" si="11"/>
        <v>0.5867452506222236</v>
      </c>
      <c r="AF12" s="89">
        <v>43.6</v>
      </c>
      <c r="AG12" s="89">
        <v>0.2</v>
      </c>
      <c r="AH12" s="89">
        <v>0</v>
      </c>
      <c r="AI12" s="89">
        <v>1782</v>
      </c>
      <c r="AJ12" s="103">
        <f t="shared" si="4"/>
        <v>70.8</v>
      </c>
    </row>
    <row r="13" spans="1:38" x14ac:dyDescent="0.25">
      <c r="A13" s="94">
        <v>44309</v>
      </c>
      <c r="B13" s="89">
        <v>23</v>
      </c>
      <c r="C13" s="89">
        <v>20.3</v>
      </c>
      <c r="D13" s="89">
        <v>768.81</v>
      </c>
      <c r="E13" s="89">
        <v>4316.7</v>
      </c>
      <c r="F13" s="89">
        <v>4319</v>
      </c>
      <c r="G13" s="89">
        <f t="shared" si="5"/>
        <v>2.3000000000001819</v>
      </c>
      <c r="H13" s="89">
        <f t="shared" si="6"/>
        <v>1.1500000000000909</v>
      </c>
      <c r="I13" s="89">
        <f>(I12+G13)+(F13-E13)</f>
        <v>16.200000000000728</v>
      </c>
      <c r="J13" s="89">
        <f t="shared" si="7"/>
        <v>16200.000000000728</v>
      </c>
      <c r="K13" s="101">
        <f t="shared" si="14"/>
        <v>15254.133288644853</v>
      </c>
      <c r="L13" s="101">
        <f t="shared" si="15"/>
        <v>15.254133288644853</v>
      </c>
      <c r="M13" s="101"/>
      <c r="N13" s="101"/>
      <c r="O13" s="101">
        <f>AVERAGE(L42:L56)</f>
        <v>501.41486996734818</v>
      </c>
      <c r="P13" s="101"/>
      <c r="Q13" s="101">
        <f t="shared" si="0"/>
        <v>13.276745640116562</v>
      </c>
      <c r="R13" s="101"/>
      <c r="S13" s="89">
        <v>30.5</v>
      </c>
      <c r="T13" s="89">
        <f t="shared" si="1"/>
        <v>701.50000000005548</v>
      </c>
      <c r="U13" s="89">
        <f t="shared" si="12"/>
        <v>2153.7000000000899</v>
      </c>
      <c r="V13" s="101">
        <f t="shared" si="2"/>
        <v>2027.9522755403896</v>
      </c>
      <c r="W13" s="101">
        <f>(V13/1000)</f>
        <v>2.0279522755403896</v>
      </c>
      <c r="X13" s="101">
        <f>AVERAGE(W13,W89)</f>
        <v>1.798339905019614</v>
      </c>
      <c r="Y13" s="101"/>
      <c r="Z13" s="101"/>
      <c r="AA13" s="101">
        <f t="shared" si="9"/>
        <v>0.67341535009153541</v>
      </c>
      <c r="AB13" s="101"/>
      <c r="AC13" s="101">
        <f t="shared" si="10"/>
        <v>0.33670767504576771</v>
      </c>
      <c r="AD13" s="101">
        <f t="shared" si="3"/>
        <v>1.798339905019614</v>
      </c>
      <c r="AE13" s="101">
        <f t="shared" si="11"/>
        <v>0.89916995250980702</v>
      </c>
      <c r="AF13" s="89">
        <v>43.4</v>
      </c>
      <c r="AG13" s="89">
        <v>0.2</v>
      </c>
      <c r="AH13" s="89">
        <v>0</v>
      </c>
      <c r="AI13" s="89">
        <v>1364</v>
      </c>
      <c r="AJ13" s="103">
        <f t="shared" si="4"/>
        <v>74.100000000000009</v>
      </c>
    </row>
    <row r="14" spans="1:38" x14ac:dyDescent="0.25">
      <c r="A14" s="94">
        <v>44312</v>
      </c>
      <c r="B14" s="89">
        <v>26</v>
      </c>
      <c r="C14" s="89">
        <v>20.100000000000001</v>
      </c>
      <c r="D14" s="89">
        <v>770</v>
      </c>
      <c r="E14" s="89">
        <v>4319.8999999999996</v>
      </c>
      <c r="F14" s="89">
        <v>4324.7</v>
      </c>
      <c r="G14" s="89">
        <f t="shared" si="5"/>
        <v>4.8000000000001819</v>
      </c>
      <c r="H14" s="89">
        <f t="shared" si="6"/>
        <v>2.4000000000000909</v>
      </c>
      <c r="I14" s="89">
        <f t="shared" si="16"/>
        <v>25.800000000001091</v>
      </c>
      <c r="J14" s="89">
        <f t="shared" si="7"/>
        <v>25800.000000001091</v>
      </c>
      <c r="K14" s="101">
        <f t="shared" si="14"/>
        <v>24347.816664424237</v>
      </c>
      <c r="L14" s="101">
        <f t="shared" si="15"/>
        <v>24.347816664424236</v>
      </c>
      <c r="M14" s="101"/>
      <c r="N14" s="101"/>
      <c r="O14" s="101">
        <f>AVERAGE(L56:L70)</f>
        <v>663.31152460948067</v>
      </c>
      <c r="P14" s="101"/>
      <c r="Q14" s="101">
        <f t="shared" si="0"/>
        <v>22.554760398439065</v>
      </c>
      <c r="R14" s="101"/>
      <c r="S14" s="89">
        <v>32.1</v>
      </c>
      <c r="T14" s="89">
        <f t="shared" si="1"/>
        <v>1540.8000000000584</v>
      </c>
      <c r="U14" s="89">
        <f t="shared" si="12"/>
        <v>3694.5000000001482</v>
      </c>
      <c r="V14" s="101">
        <f t="shared" si="2"/>
        <v>3486.5507235160903</v>
      </c>
      <c r="W14" s="101">
        <f>(V14/1000)</f>
        <v>3.4865507235160904</v>
      </c>
      <c r="X14" s="101">
        <f t="shared" si="8"/>
        <v>3.2772821829991274</v>
      </c>
      <c r="Y14" s="101"/>
      <c r="Z14" s="101"/>
      <c r="AA14" s="101">
        <f t="shared" si="9"/>
        <v>1.4585984479757008</v>
      </c>
      <c r="AB14" s="101"/>
      <c r="AC14" s="101">
        <f t="shared" si="10"/>
        <v>0.72929922398785041</v>
      </c>
      <c r="AD14" s="101">
        <f t="shared" si="3"/>
        <v>3.2772821829991274</v>
      </c>
      <c r="AE14" s="101">
        <f t="shared" si="11"/>
        <v>1.6386410914995637</v>
      </c>
      <c r="AF14" s="89">
        <v>43.2</v>
      </c>
      <c r="AG14" s="89">
        <v>0.2</v>
      </c>
      <c r="AH14" s="89">
        <v>0</v>
      </c>
      <c r="AI14" s="89">
        <v>1364</v>
      </c>
      <c r="AJ14" s="103">
        <f t="shared" si="4"/>
        <v>75.500000000000014</v>
      </c>
    </row>
    <row r="15" spans="1:38" x14ac:dyDescent="0.25">
      <c r="A15" s="94">
        <v>44314</v>
      </c>
      <c r="B15" s="89">
        <v>28</v>
      </c>
      <c r="C15" s="89">
        <v>21.5</v>
      </c>
      <c r="D15" s="89">
        <v>771.81</v>
      </c>
      <c r="E15" s="89">
        <v>4324.7</v>
      </c>
      <c r="F15" s="89">
        <v>4329.6000000000004</v>
      </c>
      <c r="G15" s="89">
        <f t="shared" si="5"/>
        <v>4.9000000000005457</v>
      </c>
      <c r="H15" s="89">
        <f>(G15/2)</f>
        <v>2.4500000000002728</v>
      </c>
      <c r="I15" s="89">
        <f>(I14+G15)+(F15-E15)</f>
        <v>35.600000000002183</v>
      </c>
      <c r="J15" s="89">
        <f t="shared" si="7"/>
        <v>35600.000000002183</v>
      </c>
      <c r="K15" s="101">
        <f t="shared" si="14"/>
        <v>33515.180782732677</v>
      </c>
      <c r="L15" s="101">
        <f t="shared" si="15"/>
        <v>33.515180782732678</v>
      </c>
      <c r="M15" s="101"/>
      <c r="N15" s="101"/>
      <c r="O15" s="101"/>
      <c r="P15" s="101"/>
      <c r="Q15" s="101">
        <f t="shared" si="0"/>
        <v>30.879155327910141</v>
      </c>
      <c r="R15" s="101"/>
      <c r="S15" s="89">
        <v>35.700000000000003</v>
      </c>
      <c r="T15" s="89">
        <f t="shared" si="1"/>
        <v>1749.300000000195</v>
      </c>
      <c r="U15" s="89">
        <f t="shared" si="12"/>
        <v>5443.8000000003431</v>
      </c>
      <c r="V15" s="101">
        <f t="shared" si="2"/>
        <v>5124.9983467707998</v>
      </c>
      <c r="W15" s="101">
        <f t="shared" si="13"/>
        <v>5.1249983467708002</v>
      </c>
      <c r="X15" s="101">
        <f>AVERAGE(W15,W91)</f>
        <v>4.7386323301067996</v>
      </c>
      <c r="Y15" s="101"/>
      <c r="Z15" s="101"/>
      <c r="AA15" s="101">
        <f t="shared" si="9"/>
        <v>1.6384476232547098</v>
      </c>
      <c r="AB15" s="101"/>
      <c r="AC15" s="101">
        <f>(AA15/2)</f>
        <v>0.81922381162735491</v>
      </c>
      <c r="AD15" s="101">
        <f t="shared" si="3"/>
        <v>4.7386323301067996</v>
      </c>
      <c r="AE15" s="101">
        <f t="shared" si="11"/>
        <v>2.3693161650533998</v>
      </c>
      <c r="AF15" s="89">
        <v>37.700000000000003</v>
      </c>
      <c r="AG15" s="89">
        <v>2</v>
      </c>
      <c r="AH15" s="89">
        <v>0</v>
      </c>
      <c r="AI15" s="89">
        <v>781</v>
      </c>
      <c r="AJ15" s="103">
        <f t="shared" si="4"/>
        <v>75.400000000000006</v>
      </c>
    </row>
    <row r="16" spans="1:38" x14ac:dyDescent="0.25">
      <c r="A16" s="94">
        <v>43951</v>
      </c>
      <c r="B16" s="89">
        <v>30</v>
      </c>
      <c r="C16" s="89">
        <v>22.2</v>
      </c>
      <c r="D16" s="89">
        <v>768.81</v>
      </c>
      <c r="E16" s="89">
        <v>4329.6000000000004</v>
      </c>
      <c r="F16" s="89">
        <v>4333.1000000000004</v>
      </c>
      <c r="G16" s="89">
        <f t="shared" si="5"/>
        <v>3.5</v>
      </c>
      <c r="H16" s="89">
        <f t="shared" si="6"/>
        <v>1.75</v>
      </c>
      <c r="I16" s="89">
        <f>(I15+G16)+(F16-E16)</f>
        <v>42.600000000002183</v>
      </c>
      <c r="J16" s="89">
        <f t="shared" si="7"/>
        <v>42600.000000002183</v>
      </c>
      <c r="K16" s="101">
        <f t="shared" si="14"/>
        <v>39854.673910081969</v>
      </c>
      <c r="L16" s="101">
        <f t="shared" si="15"/>
        <v>39.854673910081971</v>
      </c>
      <c r="M16" s="101"/>
      <c r="N16" s="101"/>
      <c r="O16" s="101"/>
      <c r="P16" s="101"/>
      <c r="Q16" s="101">
        <f t="shared" si="0"/>
        <v>37.702895741226868</v>
      </c>
      <c r="R16" s="101"/>
      <c r="S16" s="89">
        <v>39</v>
      </c>
      <c r="T16" s="89">
        <f t="shared" si="1"/>
        <v>1365</v>
      </c>
      <c r="U16" s="89">
        <f t="shared" si="12"/>
        <v>6808.8000000003431</v>
      </c>
      <c r="V16" s="101">
        <f t="shared" si="2"/>
        <v>6370.0118243888701</v>
      </c>
      <c r="W16" s="101">
        <f t="shared" si="13"/>
        <v>6.3700118243888699</v>
      </c>
      <c r="X16" s="101">
        <f t="shared" si="8"/>
        <v>6.0697919920472856</v>
      </c>
      <c r="Y16" s="101"/>
      <c r="Z16" s="101"/>
      <c r="AA16" s="101">
        <f t="shared" si="9"/>
        <v>1.2450134776180697</v>
      </c>
      <c r="AB16" s="101"/>
      <c r="AC16" s="101">
        <f t="shared" si="10"/>
        <v>0.62250673880903484</v>
      </c>
      <c r="AD16" s="101">
        <f t="shared" si="3"/>
        <v>6.0697919920472856</v>
      </c>
      <c r="AE16" s="101">
        <f t="shared" si="11"/>
        <v>3.0348959960236428</v>
      </c>
      <c r="AF16" s="89">
        <v>29.7</v>
      </c>
      <c r="AG16" s="89">
        <v>2.2000000000000002</v>
      </c>
      <c r="AH16" s="89">
        <v>7.5</v>
      </c>
      <c r="AI16" s="89">
        <v>458</v>
      </c>
      <c r="AJ16" s="103">
        <f t="shared" si="4"/>
        <v>78.400000000000006</v>
      </c>
    </row>
    <row r="17" spans="1:36" x14ac:dyDescent="0.25">
      <c r="A17" s="94">
        <v>44319</v>
      </c>
      <c r="B17" s="89">
        <v>33</v>
      </c>
      <c r="C17" s="89">
        <v>19.8</v>
      </c>
      <c r="D17" s="89">
        <v>768.06</v>
      </c>
      <c r="E17" s="89">
        <v>4333.1000000000004</v>
      </c>
      <c r="F17" s="89">
        <v>4336.7</v>
      </c>
      <c r="G17" s="89">
        <f t="shared" si="5"/>
        <v>3.5999999999994543</v>
      </c>
      <c r="H17" s="89">
        <f t="shared" si="6"/>
        <v>1.7999999999997272</v>
      </c>
      <c r="I17" s="89">
        <f t="shared" si="16"/>
        <v>49.800000000001091</v>
      </c>
      <c r="J17" s="89">
        <f t="shared" si="7"/>
        <v>49800.000000001091</v>
      </c>
      <c r="K17" s="101">
        <f t="shared" si="14"/>
        <v>46926.547247151153</v>
      </c>
      <c r="L17" s="101">
        <f t="shared" si="15"/>
        <v>46.926547247151156</v>
      </c>
      <c r="M17" s="101"/>
      <c r="N17" s="101"/>
      <c r="O17" s="101"/>
      <c r="P17" s="101"/>
      <c r="Q17" s="101">
        <f t="shared" si="0"/>
        <v>45.136176970652947</v>
      </c>
      <c r="R17" s="101"/>
      <c r="S17" s="89">
        <v>39.299999999999997</v>
      </c>
      <c r="T17" s="89">
        <f t="shared" si="1"/>
        <v>1414.7999999997853</v>
      </c>
      <c r="U17" s="89">
        <f t="shared" si="12"/>
        <v>8223.6000000001277</v>
      </c>
      <c r="V17" s="101">
        <f t="shared" si="2"/>
        <v>7749.0994767403572</v>
      </c>
      <c r="W17" s="101">
        <f>(V17/1000)</f>
        <v>7.7490994767403576</v>
      </c>
      <c r="X17" s="101">
        <f t="shared" si="8"/>
        <v>7.5000495482780121</v>
      </c>
      <c r="Y17" s="101"/>
      <c r="Z17" s="101"/>
      <c r="AA17" s="101">
        <f t="shared" si="9"/>
        <v>1.3790876523514877</v>
      </c>
      <c r="AB17" s="101"/>
      <c r="AC17" s="101">
        <f t="shared" si="10"/>
        <v>0.68954382617574383</v>
      </c>
      <c r="AD17" s="101">
        <f t="shared" si="3"/>
        <v>7.5000495482780121</v>
      </c>
      <c r="AE17" s="101">
        <f t="shared" si="11"/>
        <v>3.750024774139006</v>
      </c>
      <c r="AF17" s="89">
        <v>26.8</v>
      </c>
      <c r="AG17" s="89">
        <v>0.4</v>
      </c>
      <c r="AH17" s="89">
        <v>8</v>
      </c>
      <c r="AI17" s="89">
        <v>335</v>
      </c>
      <c r="AJ17" s="103">
        <f t="shared" si="4"/>
        <v>74.5</v>
      </c>
    </row>
    <row r="18" spans="1:36" x14ac:dyDescent="0.25">
      <c r="A18" s="94">
        <v>44321</v>
      </c>
      <c r="B18" s="89">
        <v>35</v>
      </c>
      <c r="C18" s="89">
        <v>19.2</v>
      </c>
      <c r="D18" s="89">
        <v>768.81</v>
      </c>
      <c r="E18" s="89">
        <v>4336.7</v>
      </c>
      <c r="F18" s="89">
        <v>4341.5</v>
      </c>
      <c r="G18" s="89">
        <f t="shared" si="5"/>
        <v>4.8000000000001819</v>
      </c>
      <c r="H18" s="89">
        <f t="shared" si="6"/>
        <v>2.4000000000000909</v>
      </c>
      <c r="I18" s="89">
        <f t="shared" si="16"/>
        <v>59.400000000001455</v>
      </c>
      <c r="J18" s="89">
        <f t="shared" si="7"/>
        <v>59400.000000001455</v>
      </c>
      <c r="K18" s="101">
        <f t="shared" si="14"/>
        <v>56142.271876267208</v>
      </c>
      <c r="L18" s="101">
        <f t="shared" si="15"/>
        <v>56.142271876267209</v>
      </c>
      <c r="M18" s="101"/>
      <c r="N18" s="101"/>
      <c r="O18" s="101"/>
      <c r="P18" s="101"/>
      <c r="Q18" s="101">
        <f t="shared" si="0"/>
        <v>54.535506519538373</v>
      </c>
      <c r="R18" s="101"/>
      <c r="S18" s="89">
        <v>39.799999999999997</v>
      </c>
      <c r="T18" s="89">
        <f t="shared" si="1"/>
        <v>1910.4000000000724</v>
      </c>
      <c r="U18" s="89">
        <f t="shared" si="12"/>
        <v>10134.0000000002</v>
      </c>
      <c r="V18" s="101">
        <f t="shared" si="2"/>
        <v>9578.2118382843291</v>
      </c>
      <c r="W18" s="101">
        <f t="shared" si="13"/>
        <v>9.5782118382843286</v>
      </c>
      <c r="X18" s="101">
        <f t="shared" si="8"/>
        <v>9.3731129662783488</v>
      </c>
      <c r="Y18" s="101"/>
      <c r="Z18" s="101"/>
      <c r="AA18" s="101">
        <f>(W18-W17)</f>
        <v>1.8291123615439711</v>
      </c>
      <c r="AB18" s="101"/>
      <c r="AC18" s="101">
        <f t="shared" si="10"/>
        <v>0.91455618077198553</v>
      </c>
      <c r="AD18" s="101">
        <f t="shared" si="3"/>
        <v>9.3731129662783488</v>
      </c>
      <c r="AE18" s="101">
        <f t="shared" si="11"/>
        <v>4.6865564831391744</v>
      </c>
      <c r="AF18" s="89">
        <v>26.1</v>
      </c>
      <c r="AG18" s="89">
        <v>3.4</v>
      </c>
      <c r="AH18" s="89">
        <v>17.600000000000001</v>
      </c>
      <c r="AI18" s="89">
        <v>211</v>
      </c>
      <c r="AJ18" s="103">
        <f t="shared" si="4"/>
        <v>86.9</v>
      </c>
    </row>
    <row r="19" spans="1:36" x14ac:dyDescent="0.25">
      <c r="A19" s="94">
        <v>44323</v>
      </c>
      <c r="B19" s="89">
        <v>37</v>
      </c>
      <c r="C19" s="89">
        <v>17.2</v>
      </c>
      <c r="D19" s="89">
        <v>766.56</v>
      </c>
      <c r="E19" s="89">
        <v>4341.5</v>
      </c>
      <c r="F19" s="89">
        <v>4347.6000000000004</v>
      </c>
      <c r="G19" s="89">
        <f t="shared" si="5"/>
        <v>6.1000000000003638</v>
      </c>
      <c r="H19" s="89">
        <f t="shared" si="6"/>
        <v>3.0500000000001819</v>
      </c>
      <c r="I19" s="89">
        <f>(I18+G19)+(F19-E19)</f>
        <v>71.600000000002183</v>
      </c>
      <c r="J19" s="89">
        <f t="shared" si="7"/>
        <v>71600.000000002183</v>
      </c>
      <c r="K19" s="101">
        <f t="shared" si="14"/>
        <v>67939.908560450887</v>
      </c>
      <c r="L19" s="101">
        <f t="shared" si="15"/>
        <v>67.939908560450888</v>
      </c>
      <c r="M19" s="101"/>
      <c r="N19" s="101"/>
      <c r="O19" s="101"/>
      <c r="P19" s="101"/>
      <c r="Q19" s="101">
        <f t="shared" si="0"/>
        <v>66.231922032393882</v>
      </c>
      <c r="R19" s="101"/>
      <c r="S19" s="89">
        <v>38.6</v>
      </c>
      <c r="T19" s="89">
        <f t="shared" si="1"/>
        <v>2354.6000000001404</v>
      </c>
      <c r="U19" s="89">
        <f t="shared" si="12"/>
        <v>12488.600000000341</v>
      </c>
      <c r="V19" s="101">
        <f t="shared" si="2"/>
        <v>11850.200307933579</v>
      </c>
      <c r="W19" s="101">
        <f t="shared" si="13"/>
        <v>11.850200307933578</v>
      </c>
      <c r="X19" s="101">
        <f t="shared" si="8"/>
        <v>11.611746410988715</v>
      </c>
      <c r="Y19" s="101"/>
      <c r="Z19" s="101"/>
      <c r="AA19" s="101">
        <f t="shared" si="9"/>
        <v>2.2719884696492496</v>
      </c>
      <c r="AB19" s="101"/>
      <c r="AC19" s="101">
        <f t="shared" si="10"/>
        <v>1.1359942348246248</v>
      </c>
      <c r="AD19" s="101">
        <f>AVERAGE(W19,W95)</f>
        <v>11.611746410988715</v>
      </c>
      <c r="AE19" s="101">
        <f t="shared" si="11"/>
        <v>5.8058732054943576</v>
      </c>
      <c r="AJ19" s="103">
        <f t="shared" si="4"/>
        <v>38.6</v>
      </c>
    </row>
    <row r="20" spans="1:36" x14ac:dyDescent="0.25">
      <c r="A20" s="94">
        <v>44326</v>
      </c>
      <c r="B20" s="89">
        <v>40</v>
      </c>
      <c r="C20" s="89">
        <v>17.100000000000001</v>
      </c>
      <c r="D20" s="89">
        <v>770.31</v>
      </c>
      <c r="E20" s="89">
        <v>4347.6000000000004</v>
      </c>
      <c r="F20" s="89">
        <v>4353.8999999999996</v>
      </c>
      <c r="G20" s="89">
        <f t="shared" si="5"/>
        <v>6.2999999999992724</v>
      </c>
      <c r="H20" s="89">
        <f t="shared" si="6"/>
        <v>3.1499999999996362</v>
      </c>
      <c r="I20" s="89">
        <f>(I19+G20)+(F20-E20)</f>
        <v>84.200000000000728</v>
      </c>
      <c r="J20" s="89">
        <f t="shared" si="7"/>
        <v>84200.000000000728</v>
      </c>
      <c r="K20" s="101">
        <f t="shared" si="14"/>
        <v>80314.324589963959</v>
      </c>
      <c r="L20" s="101">
        <f t="shared" si="15"/>
        <v>80.31432458996396</v>
      </c>
      <c r="M20" s="101"/>
      <c r="N20" s="101"/>
      <c r="O20" s="101"/>
      <c r="P20" s="101"/>
      <c r="Q20" s="101">
        <f t="shared" si="0"/>
        <v>78.311235734394444</v>
      </c>
      <c r="R20" s="101"/>
      <c r="S20" s="89">
        <v>38.299999999999997</v>
      </c>
      <c r="T20" s="89">
        <f t="shared" si="1"/>
        <v>2412.8999999997213</v>
      </c>
      <c r="U20" s="89">
        <f t="shared" si="12"/>
        <v>14901.500000000062</v>
      </c>
      <c r="V20" s="101">
        <f t="shared" si="2"/>
        <v>14213.823133935184</v>
      </c>
      <c r="W20" s="101">
        <f t="shared" si="13"/>
        <v>14.213823133935184</v>
      </c>
      <c r="X20" s="101">
        <f t="shared" si="8"/>
        <v>13.907875157542868</v>
      </c>
      <c r="Y20" s="101"/>
      <c r="Z20" s="101"/>
      <c r="AA20" s="101">
        <f t="shared" si="9"/>
        <v>2.3636228260016061</v>
      </c>
      <c r="AB20" s="101"/>
      <c r="AC20" s="101">
        <f t="shared" si="10"/>
        <v>1.1818114130008031</v>
      </c>
      <c r="AD20" s="101">
        <f t="shared" si="3"/>
        <v>13.907875157542868</v>
      </c>
      <c r="AE20" s="101">
        <f t="shared" si="11"/>
        <v>6.9539375787714341</v>
      </c>
      <c r="AF20" s="89">
        <v>29.8</v>
      </c>
      <c r="AG20" s="89">
        <v>0.2</v>
      </c>
      <c r="AH20" s="89">
        <v>26.8</v>
      </c>
      <c r="AI20" s="89">
        <v>528</v>
      </c>
      <c r="AJ20" s="103">
        <f t="shared" si="4"/>
        <v>95.1</v>
      </c>
    </row>
    <row r="21" spans="1:36" x14ac:dyDescent="0.25">
      <c r="A21" s="94">
        <v>44328</v>
      </c>
      <c r="B21" s="89">
        <v>42</v>
      </c>
      <c r="C21" s="89">
        <v>19.399999999999999</v>
      </c>
      <c r="D21" s="89">
        <v>773.35</v>
      </c>
      <c r="E21" s="89">
        <v>4353.8999999999996</v>
      </c>
      <c r="F21" s="89">
        <v>4361</v>
      </c>
      <c r="G21" s="89">
        <f t="shared" si="5"/>
        <v>7.1000000000003638</v>
      </c>
      <c r="H21" s="89">
        <f t="shared" si="6"/>
        <v>3.5500000000001819</v>
      </c>
      <c r="I21" s="89">
        <f>(I20+G21)+(F21-E21)</f>
        <v>98.400000000001455</v>
      </c>
      <c r="J21" s="89">
        <f t="shared" si="7"/>
        <v>98400.000000001455</v>
      </c>
      <c r="K21" s="101">
        <f t="shared" si="14"/>
        <v>93488.609081669842</v>
      </c>
      <c r="L21" s="101">
        <f t="shared" si="15"/>
        <v>93.488609081669836</v>
      </c>
      <c r="M21" s="101"/>
      <c r="N21" s="101"/>
      <c r="O21" s="101"/>
      <c r="P21" s="101"/>
      <c r="Q21" s="101">
        <f t="shared" si="0"/>
        <v>91.398416602200939</v>
      </c>
      <c r="R21" s="101"/>
      <c r="S21" s="89">
        <v>35.6</v>
      </c>
      <c r="T21" s="89">
        <f t="shared" si="1"/>
        <v>2527.6000000001295</v>
      </c>
      <c r="U21" s="89">
        <f t="shared" si="12"/>
        <v>17429.100000000191</v>
      </c>
      <c r="V21" s="101">
        <f t="shared" si="2"/>
        <v>16559.169883590708</v>
      </c>
      <c r="W21" s="101">
        <f t="shared" si="13"/>
        <v>16.559169883590709</v>
      </c>
      <c r="X21" s="101">
        <f>AVERAGE(W21,W97)</f>
        <v>16.25414429471186</v>
      </c>
      <c r="Y21" s="101"/>
      <c r="Z21" s="101"/>
      <c r="AA21" s="101">
        <f t="shared" si="9"/>
        <v>2.3453467496555245</v>
      </c>
      <c r="AB21" s="101"/>
      <c r="AC21" s="101">
        <f t="shared" si="10"/>
        <v>1.1726733748277622</v>
      </c>
      <c r="AD21" s="101">
        <f t="shared" si="3"/>
        <v>16.25414429471186</v>
      </c>
      <c r="AE21" s="101">
        <f t="shared" si="11"/>
        <v>8.1270721473559302</v>
      </c>
      <c r="AF21" s="89">
        <v>29.8</v>
      </c>
      <c r="AG21" s="89">
        <v>0.2</v>
      </c>
      <c r="AH21" s="89">
        <v>28.1</v>
      </c>
      <c r="AI21" s="89">
        <v>525</v>
      </c>
      <c r="AJ21" s="103">
        <f t="shared" si="4"/>
        <v>93.700000000000017</v>
      </c>
    </row>
    <row r="22" spans="1:36" x14ac:dyDescent="0.25">
      <c r="A22" s="94">
        <v>44330</v>
      </c>
      <c r="B22" s="89">
        <v>44</v>
      </c>
      <c r="C22" s="89">
        <v>19.2</v>
      </c>
      <c r="D22" s="89">
        <v>770.35</v>
      </c>
      <c r="E22" s="89">
        <v>4361</v>
      </c>
      <c r="F22" s="89">
        <v>4368.6000000000004</v>
      </c>
      <c r="G22" s="89">
        <f t="shared" si="5"/>
        <v>7.6000000000003638</v>
      </c>
      <c r="H22" s="89">
        <f t="shared" si="6"/>
        <v>3.8000000000001819</v>
      </c>
      <c r="I22" s="89">
        <f t="shared" si="16"/>
        <v>113.60000000000218</v>
      </c>
      <c r="J22" s="89">
        <f t="shared" si="7"/>
        <v>113600.00000000218</v>
      </c>
      <c r="K22" s="101">
        <f t="shared" si="14"/>
        <v>107584.80392104121</v>
      </c>
      <c r="L22" s="101">
        <f t="shared" si="15"/>
        <v>107.58480392104121</v>
      </c>
      <c r="M22" s="101"/>
      <c r="N22" s="101"/>
      <c r="O22" s="101"/>
      <c r="P22" s="101"/>
      <c r="Q22" s="101">
        <f t="shared" si="0"/>
        <v>105.88011512651667</v>
      </c>
      <c r="R22" s="101"/>
      <c r="S22" s="89">
        <v>30.1</v>
      </c>
      <c r="T22" s="89">
        <f t="shared" si="1"/>
        <v>2287.6000000001095</v>
      </c>
      <c r="U22" s="89">
        <f t="shared" si="12"/>
        <v>19716.700000000303</v>
      </c>
      <c r="V22" s="101">
        <f t="shared" si="2"/>
        <v>18672.687530545641</v>
      </c>
      <c r="W22" s="101">
        <f t="shared" si="13"/>
        <v>18.672687530545641</v>
      </c>
      <c r="X22" s="101">
        <f t="shared" si="8"/>
        <v>18.46731988327193</v>
      </c>
      <c r="Y22" s="101"/>
      <c r="Z22" s="101"/>
      <c r="AA22" s="101">
        <f t="shared" si="9"/>
        <v>2.1135176469549322</v>
      </c>
      <c r="AB22" s="101"/>
      <c r="AC22" s="101">
        <f t="shared" si="10"/>
        <v>1.0567588234774661</v>
      </c>
      <c r="AD22" s="101">
        <f t="shared" si="3"/>
        <v>18.46731988327193</v>
      </c>
      <c r="AE22" s="101">
        <f t="shared" si="11"/>
        <v>9.233659941635965</v>
      </c>
      <c r="AF22" s="89">
        <v>30.2</v>
      </c>
      <c r="AG22" s="89">
        <v>0.1</v>
      </c>
      <c r="AH22" s="89">
        <v>31</v>
      </c>
      <c r="AI22" s="89">
        <v>584</v>
      </c>
      <c r="AJ22" s="103">
        <f t="shared" si="4"/>
        <v>91.4</v>
      </c>
    </row>
    <row r="23" spans="1:36" x14ac:dyDescent="0.25">
      <c r="A23" s="94">
        <v>44333</v>
      </c>
      <c r="B23" s="89">
        <v>47</v>
      </c>
      <c r="C23" s="89">
        <v>18</v>
      </c>
      <c r="D23" s="89">
        <v>769.6</v>
      </c>
      <c r="E23" s="89">
        <v>4368.6000000000004</v>
      </c>
      <c r="F23" s="89">
        <v>4376.1000000000004</v>
      </c>
      <c r="G23" s="89">
        <f t="shared" si="5"/>
        <v>7.5</v>
      </c>
      <c r="H23" s="89">
        <f t="shared" si="6"/>
        <v>3.75</v>
      </c>
      <c r="I23" s="89">
        <f t="shared" si="16"/>
        <v>128.60000000000218</v>
      </c>
      <c r="J23" s="89">
        <f t="shared" si="7"/>
        <v>128600.00000000218</v>
      </c>
      <c r="K23" s="101">
        <f t="shared" si="14"/>
        <v>122173.45220857607</v>
      </c>
      <c r="L23" s="101">
        <f t="shared" si="15"/>
        <v>122.17345220857607</v>
      </c>
      <c r="M23" s="101"/>
      <c r="N23" s="101"/>
      <c r="O23" s="101"/>
      <c r="P23" s="101"/>
      <c r="Q23" s="101">
        <f t="shared" si="0"/>
        <v>120.93841731066564</v>
      </c>
      <c r="R23" s="101"/>
      <c r="S23" s="89">
        <v>27.4</v>
      </c>
      <c r="T23" s="89">
        <f t="shared" si="1"/>
        <v>2055</v>
      </c>
      <c r="U23" s="89">
        <f t="shared" si="12"/>
        <v>21771.700000000303</v>
      </c>
      <c r="V23" s="101">
        <f t="shared" si="2"/>
        <v>20683.699451395394</v>
      </c>
      <c r="W23" s="101">
        <f t="shared" si="13"/>
        <v>20.683699451395395</v>
      </c>
      <c r="X23" s="101">
        <f t="shared" si="8"/>
        <v>20.57316382803236</v>
      </c>
      <c r="Y23" s="101"/>
      <c r="Z23" s="101"/>
      <c r="AA23" s="101">
        <f t="shared" si="9"/>
        <v>2.0110119208497537</v>
      </c>
      <c r="AB23" s="101"/>
      <c r="AC23" s="101">
        <f t="shared" si="10"/>
        <v>1.0055059604248768</v>
      </c>
      <c r="AD23" s="101">
        <f t="shared" si="3"/>
        <v>20.57316382803236</v>
      </c>
      <c r="AE23" s="101">
        <f t="shared" si="11"/>
        <v>10.28658191401618</v>
      </c>
      <c r="AF23" s="89">
        <v>30.6</v>
      </c>
      <c r="AG23" s="89">
        <v>0.2</v>
      </c>
      <c r="AH23" s="89">
        <v>39.200000000000003</v>
      </c>
      <c r="AI23" s="89">
        <v>612</v>
      </c>
      <c r="AJ23" s="103">
        <f t="shared" si="4"/>
        <v>97.4</v>
      </c>
    </row>
    <row r="24" spans="1:36" x14ac:dyDescent="0.25">
      <c r="A24" s="94">
        <v>44335</v>
      </c>
      <c r="B24" s="89">
        <v>49</v>
      </c>
      <c r="C24" s="89">
        <v>19.3</v>
      </c>
      <c r="D24" s="89">
        <v>769.6</v>
      </c>
      <c r="E24" s="89">
        <v>4376.1000000000004</v>
      </c>
      <c r="F24" s="89">
        <v>4384.7</v>
      </c>
      <c r="G24" s="89">
        <f t="shared" si="5"/>
        <v>8.5999999999994543</v>
      </c>
      <c r="H24" s="89">
        <f t="shared" si="6"/>
        <v>4.2999999999997272</v>
      </c>
      <c r="I24" s="89">
        <f t="shared" si="16"/>
        <v>145.80000000000109</v>
      </c>
      <c r="J24" s="89">
        <f t="shared" si="7"/>
        <v>145800.00000000111</v>
      </c>
      <c r="K24" s="101">
        <f t="shared" si="14"/>
        <v>137898.19128776054</v>
      </c>
      <c r="L24" s="101">
        <f t="shared" si="15"/>
        <v>137.89819128776054</v>
      </c>
      <c r="M24" s="101"/>
      <c r="N24" s="101"/>
      <c r="O24" s="101"/>
      <c r="P24" s="101"/>
      <c r="Q24" s="101">
        <f t="shared" si="0"/>
        <v>137.04696788474917</v>
      </c>
      <c r="R24" s="101"/>
      <c r="S24" s="89">
        <v>17.399999999999999</v>
      </c>
      <c r="T24" s="89">
        <f t="shared" si="1"/>
        <v>1496.399999999905</v>
      </c>
      <c r="U24" s="89">
        <f t="shared" si="12"/>
        <v>23268.10000000021</v>
      </c>
      <c r="V24" s="101">
        <f t="shared" si="2"/>
        <v>22007.056959552436</v>
      </c>
      <c r="W24" s="101">
        <f t="shared" si="13"/>
        <v>22.007056959552436</v>
      </c>
      <c r="X24" s="101">
        <f>AVERAGE(W24,W100)</f>
        <v>21.963975597322175</v>
      </c>
      <c r="Y24" s="101"/>
      <c r="Z24" s="101"/>
      <c r="AA24" s="101">
        <f t="shared" si="9"/>
        <v>1.3233575081570415</v>
      </c>
      <c r="AB24" s="101"/>
      <c r="AC24" s="101">
        <f t="shared" si="10"/>
        <v>0.66167875407852073</v>
      </c>
      <c r="AD24" s="101">
        <f t="shared" si="3"/>
        <v>21.963975597322175</v>
      </c>
      <c r="AE24" s="101">
        <f t="shared" si="11"/>
        <v>10.981987798661088</v>
      </c>
      <c r="AF24" s="89">
        <v>30.6</v>
      </c>
      <c r="AG24" s="89">
        <v>0.2</v>
      </c>
      <c r="AH24" s="89">
        <v>39.200000000000003</v>
      </c>
      <c r="AI24" s="89">
        <v>612</v>
      </c>
      <c r="AJ24" s="103">
        <f t="shared" si="4"/>
        <v>87.4</v>
      </c>
    </row>
    <row r="25" spans="1:36" x14ac:dyDescent="0.25">
      <c r="A25" s="94">
        <v>44337</v>
      </c>
      <c r="B25" s="89">
        <v>51</v>
      </c>
      <c r="C25" s="89">
        <v>15.6</v>
      </c>
      <c r="D25" s="89">
        <v>769.6</v>
      </c>
      <c r="E25" s="89">
        <v>4384.7</v>
      </c>
      <c r="F25" s="89">
        <v>4392.7</v>
      </c>
      <c r="G25" s="89">
        <f t="shared" si="5"/>
        <v>8</v>
      </c>
      <c r="H25" s="89">
        <f t="shared" si="6"/>
        <v>4</v>
      </c>
      <c r="I25" s="89">
        <f t="shared" si="16"/>
        <v>161.80000000000109</v>
      </c>
      <c r="J25" s="89">
        <f t="shared" si="7"/>
        <v>161800.00000000111</v>
      </c>
      <c r="K25" s="101">
        <f t="shared" si="14"/>
        <v>154991.96915926284</v>
      </c>
      <c r="L25" s="101">
        <f t="shared" si="15"/>
        <v>154.99196915926285</v>
      </c>
      <c r="M25" s="101"/>
      <c r="N25" s="101"/>
      <c r="O25" s="101"/>
      <c r="P25" s="101"/>
      <c r="Q25" s="101">
        <f t="shared" si="0"/>
        <v>154.12983830485356</v>
      </c>
      <c r="R25" s="101"/>
      <c r="S25" s="89">
        <v>16.5</v>
      </c>
      <c r="T25" s="89">
        <f t="shared" si="1"/>
        <v>1320</v>
      </c>
      <c r="U25" s="89">
        <f t="shared" si="12"/>
        <v>24588.10000000021</v>
      </c>
      <c r="V25" s="101">
        <f t="shared" si="2"/>
        <v>23553.510734764383</v>
      </c>
      <c r="W25" s="101">
        <f t="shared" si="13"/>
        <v>23.553510734764384</v>
      </c>
      <c r="X25" s="101">
        <f t="shared" si="8"/>
        <v>23.559689339220881</v>
      </c>
      <c r="Y25" s="101"/>
      <c r="Z25" s="101"/>
      <c r="AA25" s="101">
        <f t="shared" si="9"/>
        <v>1.5464537752119476</v>
      </c>
      <c r="AB25" s="101"/>
      <c r="AC25" s="101">
        <f t="shared" si="10"/>
        <v>0.7732268876059738</v>
      </c>
      <c r="AD25" s="101">
        <f t="shared" si="3"/>
        <v>23.559689339220881</v>
      </c>
      <c r="AE25" s="101">
        <f t="shared" si="11"/>
        <v>11.779844669610441</v>
      </c>
      <c r="AF25" s="89">
        <v>31.2</v>
      </c>
      <c r="AG25" s="89">
        <v>0.1</v>
      </c>
      <c r="AH25" s="89">
        <v>40.9</v>
      </c>
      <c r="AI25" s="89">
        <v>706</v>
      </c>
      <c r="AJ25" s="103">
        <f t="shared" si="4"/>
        <v>88.7</v>
      </c>
    </row>
    <row r="26" spans="1:36" x14ac:dyDescent="0.25">
      <c r="A26" s="94">
        <v>44340</v>
      </c>
      <c r="B26" s="89">
        <v>54</v>
      </c>
      <c r="C26" s="89">
        <v>17.399999999999999</v>
      </c>
      <c r="D26" s="89">
        <v>768.1</v>
      </c>
      <c r="E26" s="89">
        <v>4420</v>
      </c>
      <c r="F26" s="89">
        <v>4429.1000000000004</v>
      </c>
      <c r="G26" s="89">
        <f t="shared" si="5"/>
        <v>9.1000000000003638</v>
      </c>
      <c r="H26" s="89">
        <f t="shared" si="6"/>
        <v>4.5500000000001819</v>
      </c>
      <c r="I26" s="89">
        <f t="shared" si="16"/>
        <v>180.00000000000182</v>
      </c>
      <c r="J26" s="89">
        <f t="shared" si="7"/>
        <v>180000.0000000018</v>
      </c>
      <c r="K26" s="101">
        <f t="shared" si="14"/>
        <v>171023.97766486602</v>
      </c>
      <c r="L26" s="101">
        <f t="shared" si="15"/>
        <v>171.02397766486601</v>
      </c>
      <c r="M26" s="101"/>
      <c r="N26" s="101"/>
      <c r="O26" s="101"/>
      <c r="P26" s="101"/>
      <c r="Q26" s="101">
        <f t="shared" si="0"/>
        <v>169.12371124636667</v>
      </c>
      <c r="R26" s="101"/>
      <c r="S26" s="89">
        <v>69.8</v>
      </c>
      <c r="T26" s="89">
        <f t="shared" si="1"/>
        <v>6351.8000000002539</v>
      </c>
      <c r="U26" s="89">
        <f t="shared" si="12"/>
        <v>30939.900000000463</v>
      </c>
      <c r="V26" s="101">
        <f t="shared" si="2"/>
        <v>29397.026480851189</v>
      </c>
      <c r="W26" s="101">
        <f t="shared" si="13"/>
        <v>29.397026480851189</v>
      </c>
      <c r="X26" s="101">
        <f t="shared" si="8"/>
        <v>29.205622145847705</v>
      </c>
      <c r="Y26" s="101"/>
      <c r="Z26" s="101"/>
      <c r="AA26" s="101">
        <f t="shared" si="9"/>
        <v>5.8435157460868048</v>
      </c>
      <c r="AB26" s="101"/>
      <c r="AC26" s="101">
        <f t="shared" si="10"/>
        <v>2.9217578730434024</v>
      </c>
      <c r="AD26" s="101">
        <f t="shared" si="3"/>
        <v>29.205622145847705</v>
      </c>
      <c r="AE26" s="101">
        <f t="shared" si="11"/>
        <v>14.602811072923853</v>
      </c>
      <c r="AF26" s="89">
        <v>31.5</v>
      </c>
      <c r="AG26" s="89">
        <v>0.2</v>
      </c>
      <c r="AH26" s="89">
        <v>39.799999999999997</v>
      </c>
      <c r="AI26" s="89">
        <v>670</v>
      </c>
      <c r="AJ26" s="103">
        <f t="shared" si="4"/>
        <v>141.30000000000001</v>
      </c>
    </row>
    <row r="27" spans="1:36" x14ac:dyDescent="0.25">
      <c r="A27" s="94">
        <v>44342</v>
      </c>
      <c r="B27" s="89">
        <v>56</v>
      </c>
      <c r="C27" s="89">
        <v>19.3</v>
      </c>
      <c r="D27" s="89">
        <v>768.85</v>
      </c>
      <c r="E27" s="89">
        <v>4429.1000000000004</v>
      </c>
      <c r="F27" s="89">
        <v>4436.3999999999996</v>
      </c>
      <c r="G27" s="89">
        <f t="shared" si="5"/>
        <v>7.2999999999992724</v>
      </c>
      <c r="H27" s="89">
        <f t="shared" si="6"/>
        <v>3.6499999999996362</v>
      </c>
      <c r="I27" s="89">
        <f t="shared" si="16"/>
        <v>194.60000000000036</v>
      </c>
      <c r="J27" s="89">
        <f t="shared" si="7"/>
        <v>194600.00000000035</v>
      </c>
      <c r="K27" s="101">
        <f t="shared" si="14"/>
        <v>183874.04982183222</v>
      </c>
      <c r="L27" s="101">
        <f t="shared" si="15"/>
        <v>183.87404982183222</v>
      </c>
      <c r="M27" s="101"/>
      <c r="N27" s="101"/>
      <c r="O27" s="101"/>
      <c r="P27" s="101"/>
      <c r="Q27" s="101">
        <f t="shared" si="0"/>
        <v>181.70082107265313</v>
      </c>
      <c r="R27" s="101"/>
      <c r="S27" s="89">
        <v>70.900000000000006</v>
      </c>
      <c r="T27" s="89">
        <f t="shared" si="1"/>
        <v>5175.6999999994841</v>
      </c>
      <c r="U27" s="89">
        <f t="shared" si="12"/>
        <v>36115.599999999948</v>
      </c>
      <c r="V27" s="101">
        <f t="shared" si="2"/>
        <v>34124.982701671848</v>
      </c>
      <c r="W27" s="101">
        <f t="shared" si="13"/>
        <v>34.124982701671847</v>
      </c>
      <c r="X27" s="101">
        <f t="shared" si="8"/>
        <v>33.758084995886591</v>
      </c>
      <c r="Y27" s="101"/>
      <c r="Z27" s="101"/>
      <c r="AA27" s="101">
        <f t="shared" si="9"/>
        <v>4.7279562208206585</v>
      </c>
      <c r="AB27" s="101"/>
      <c r="AC27" s="101">
        <f t="shared" si="10"/>
        <v>2.3639781104103292</v>
      </c>
      <c r="AD27" s="101">
        <f t="shared" si="3"/>
        <v>33.758084995886591</v>
      </c>
      <c r="AE27" s="101">
        <f t="shared" si="11"/>
        <v>16.879042497943296</v>
      </c>
      <c r="AF27" s="89">
        <v>30.6</v>
      </c>
      <c r="AG27" s="89">
        <v>0.6</v>
      </c>
      <c r="AH27" s="89">
        <v>40.5</v>
      </c>
      <c r="AI27" s="89">
        <v>485</v>
      </c>
      <c r="AJ27" s="103">
        <f t="shared" si="4"/>
        <v>142.6</v>
      </c>
    </row>
    <row r="28" spans="1:36" x14ac:dyDescent="0.25">
      <c r="A28" s="94">
        <v>44344</v>
      </c>
      <c r="B28" s="89">
        <v>58</v>
      </c>
      <c r="C28" s="89">
        <v>20.3</v>
      </c>
      <c r="D28" s="89">
        <v>769.6</v>
      </c>
      <c r="E28" s="89">
        <v>4436.3999999999996</v>
      </c>
      <c r="F28" s="89">
        <v>4443.5</v>
      </c>
      <c r="G28" s="89">
        <f t="shared" si="5"/>
        <v>7.1000000000003638</v>
      </c>
      <c r="H28" s="89">
        <f t="shared" si="6"/>
        <v>3.5500000000001819</v>
      </c>
      <c r="I28" s="89">
        <f t="shared" si="16"/>
        <v>208.80000000000109</v>
      </c>
      <c r="J28" s="89">
        <f t="shared" si="7"/>
        <v>208800.00000000111</v>
      </c>
      <c r="K28" s="101">
        <f t="shared" si="14"/>
        <v>196810.85683026892</v>
      </c>
      <c r="L28" s="101">
        <f t="shared" si="15"/>
        <v>196.81085683026893</v>
      </c>
      <c r="M28" s="101"/>
      <c r="N28" s="101"/>
      <c r="O28" s="101"/>
      <c r="P28" s="101"/>
      <c r="Q28" s="101">
        <f t="shared" si="0"/>
        <v>193.60608234165292</v>
      </c>
      <c r="R28" s="101"/>
      <c r="S28" s="89">
        <v>65.400000000000006</v>
      </c>
      <c r="T28" s="89">
        <f t="shared" si="1"/>
        <v>4643.4000000002388</v>
      </c>
      <c r="U28" s="89">
        <f t="shared" si="12"/>
        <v>40759.000000000189</v>
      </c>
      <c r="V28" s="101">
        <f t="shared" si="2"/>
        <v>38418.648053376084</v>
      </c>
      <c r="W28" s="101">
        <f t="shared" si="13"/>
        <v>38.418648053376081</v>
      </c>
      <c r="X28" s="101">
        <f t="shared" si="8"/>
        <v>37.818224127126562</v>
      </c>
      <c r="Y28" s="101"/>
      <c r="Z28" s="101"/>
      <c r="AA28" s="101">
        <f t="shared" si="9"/>
        <v>4.2936653517042345</v>
      </c>
      <c r="AB28" s="101"/>
      <c r="AC28" s="101">
        <f t="shared" si="10"/>
        <v>2.1468326758521172</v>
      </c>
      <c r="AD28" s="101">
        <f t="shared" si="3"/>
        <v>37.818224127126562</v>
      </c>
      <c r="AE28" s="101">
        <f t="shared" si="11"/>
        <v>18.909112063563281</v>
      </c>
      <c r="AF28" s="89">
        <v>30.5</v>
      </c>
      <c r="AG28" s="89">
        <v>0.5</v>
      </c>
      <c r="AH28" s="89">
        <v>43.2</v>
      </c>
      <c r="AI28" s="89">
        <v>451</v>
      </c>
      <c r="AJ28" s="103">
        <f t="shared" si="4"/>
        <v>139.60000000000002</v>
      </c>
    </row>
    <row r="29" spans="1:36" x14ac:dyDescent="0.25">
      <c r="A29" s="94">
        <v>44347</v>
      </c>
      <c r="B29" s="89">
        <v>61</v>
      </c>
      <c r="C29" s="89">
        <v>20.7</v>
      </c>
      <c r="D29" s="89">
        <v>769.6</v>
      </c>
      <c r="E29" s="89">
        <v>4443.5</v>
      </c>
      <c r="F29" s="89">
        <v>4452.7</v>
      </c>
      <c r="G29" s="89">
        <f t="shared" si="5"/>
        <v>9.1999999999998181</v>
      </c>
      <c r="H29" s="89">
        <f t="shared" si="6"/>
        <v>4.5999999999999091</v>
      </c>
      <c r="I29" s="89">
        <f t="shared" si="16"/>
        <v>227.20000000000073</v>
      </c>
      <c r="J29" s="89">
        <f t="shared" si="7"/>
        <v>227200.00000000073</v>
      </c>
      <c r="K29" s="101">
        <f t="shared" si="14"/>
        <v>213862.82711372682</v>
      </c>
      <c r="L29" s="101">
        <f t="shared" si="15"/>
        <v>213.86282711372681</v>
      </c>
      <c r="M29" s="101"/>
      <c r="N29" s="101"/>
      <c r="O29" s="101"/>
      <c r="P29" s="101"/>
      <c r="Q29" s="101">
        <f t="shared" si="0"/>
        <v>210.47415555734699</v>
      </c>
      <c r="R29" s="101"/>
      <c r="S29" s="89">
        <v>65.5</v>
      </c>
      <c r="T29" s="89">
        <f t="shared" si="1"/>
        <v>6025.9999999998809</v>
      </c>
      <c r="U29" s="89">
        <f t="shared" si="12"/>
        <v>46785.000000000073</v>
      </c>
      <c r="V29" s="101">
        <f t="shared" si="2"/>
        <v>44038.61076811485</v>
      </c>
      <c r="W29" s="101">
        <f t="shared" si="13"/>
        <v>44.03861076811485</v>
      </c>
      <c r="X29" s="101">
        <f t="shared" si="8"/>
        <v>43.500188509712302</v>
      </c>
      <c r="Y29" s="101"/>
      <c r="Z29" s="101"/>
      <c r="AA29" s="101">
        <f t="shared" si="9"/>
        <v>5.6199627147387687</v>
      </c>
      <c r="AB29" s="101"/>
      <c r="AC29" s="101">
        <f t="shared" si="10"/>
        <v>2.8099813573693844</v>
      </c>
      <c r="AD29" s="101">
        <f t="shared" si="3"/>
        <v>43.500188509712302</v>
      </c>
      <c r="AE29" s="101">
        <f t="shared" si="11"/>
        <v>21.750094254856151</v>
      </c>
      <c r="AF29" s="89">
        <v>30.2</v>
      </c>
      <c r="AG29" s="89">
        <v>0.3</v>
      </c>
      <c r="AH29" s="89">
        <v>42.6</v>
      </c>
      <c r="AI29" s="89">
        <v>632</v>
      </c>
      <c r="AJ29" s="103">
        <f t="shared" si="4"/>
        <v>138.6</v>
      </c>
    </row>
    <row r="30" spans="1:36" x14ac:dyDescent="0.25">
      <c r="A30" s="104">
        <v>44349</v>
      </c>
      <c r="B30" s="89">
        <v>63</v>
      </c>
      <c r="C30" s="89">
        <v>20.5</v>
      </c>
      <c r="D30" s="89">
        <v>771.1</v>
      </c>
      <c r="E30" s="89">
        <v>4452.7</v>
      </c>
      <c r="F30" s="89">
        <v>4461.8999999999996</v>
      </c>
      <c r="G30" s="89">
        <f t="shared" si="5"/>
        <v>9.1999999999998181</v>
      </c>
      <c r="H30" s="89">
        <f t="shared" si="6"/>
        <v>4.5999999999999091</v>
      </c>
      <c r="I30" s="89">
        <f t="shared" si="16"/>
        <v>245.60000000000036</v>
      </c>
      <c r="J30" s="89">
        <f t="shared" si="7"/>
        <v>245600.00000000035</v>
      </c>
      <c r="K30" s="101">
        <f t="shared" si="14"/>
        <v>231791.05542760392</v>
      </c>
      <c r="L30" s="101">
        <f t="shared" si="15"/>
        <v>231.79105542760391</v>
      </c>
      <c r="M30" s="101"/>
      <c r="N30" s="101"/>
      <c r="O30" s="101"/>
      <c r="P30" s="101"/>
      <c r="Q30" s="101">
        <f t="shared" si="0"/>
        <v>227.26093708048447</v>
      </c>
      <c r="R30" s="101"/>
      <c r="S30" s="89">
        <v>70.099999999999994</v>
      </c>
      <c r="T30" s="89">
        <f t="shared" si="1"/>
        <v>6449.1999999998725</v>
      </c>
      <c r="U30" s="89">
        <f t="shared" si="12"/>
        <v>53234.199999999946</v>
      </c>
      <c r="V30" s="101">
        <f t="shared" si="2"/>
        <v>50241.088773795287</v>
      </c>
      <c r="W30" s="101">
        <f t="shared" si="13"/>
        <v>50.24108877379529</v>
      </c>
      <c r="X30" s="101">
        <f t="shared" si="8"/>
        <v>49.10799292222211</v>
      </c>
      <c r="Y30" s="101"/>
      <c r="Z30" s="101"/>
      <c r="AA30" s="101">
        <f t="shared" si="9"/>
        <v>6.2024780056804403</v>
      </c>
      <c r="AB30" s="101"/>
      <c r="AC30" s="101">
        <f t="shared" si="10"/>
        <v>3.1012390028402201</v>
      </c>
      <c r="AD30" s="101">
        <f t="shared" si="3"/>
        <v>49.10799292222211</v>
      </c>
      <c r="AE30" s="101">
        <f t="shared" si="11"/>
        <v>24.553996461111055</v>
      </c>
      <c r="AF30" s="89">
        <v>30.2</v>
      </c>
      <c r="AG30" s="89">
        <v>0.3</v>
      </c>
      <c r="AH30" s="89">
        <v>42.6</v>
      </c>
      <c r="AI30" s="89">
        <v>632</v>
      </c>
      <c r="AJ30" s="103">
        <f t="shared" si="4"/>
        <v>143.19999999999999</v>
      </c>
    </row>
    <row r="31" spans="1:36" x14ac:dyDescent="0.25">
      <c r="A31" s="104">
        <v>44351</v>
      </c>
      <c r="B31" s="89">
        <v>65</v>
      </c>
      <c r="C31" s="89">
        <v>16.600000000000001</v>
      </c>
      <c r="D31" s="89">
        <v>768.1</v>
      </c>
      <c r="E31" s="89">
        <v>4461.8999999999996</v>
      </c>
      <c r="F31" s="89">
        <v>4471.5</v>
      </c>
      <c r="G31" s="89">
        <f>(F31-E31)</f>
        <v>9.6000000000003638</v>
      </c>
      <c r="H31" s="89">
        <f t="shared" si="6"/>
        <v>4.8000000000001819</v>
      </c>
      <c r="I31" s="89">
        <f t="shared" si="16"/>
        <v>264.80000000000109</v>
      </c>
      <c r="J31" s="89">
        <f t="shared" si="7"/>
        <v>264800.00000000111</v>
      </c>
      <c r="K31" s="101">
        <f t="shared" si="14"/>
        <v>252289.92857726821</v>
      </c>
      <c r="L31" s="101">
        <f t="shared" si="15"/>
        <v>252.2899285772682</v>
      </c>
      <c r="M31" s="101"/>
      <c r="N31" s="101"/>
      <c r="O31" s="101"/>
      <c r="P31" s="101"/>
      <c r="Q31" s="101">
        <f t="shared" si="0"/>
        <v>246.19228679896514</v>
      </c>
      <c r="R31" s="101"/>
      <c r="S31" s="89">
        <v>67.8</v>
      </c>
      <c r="T31" s="89">
        <f t="shared" si="1"/>
        <v>6508.8000000002467</v>
      </c>
      <c r="U31" s="89">
        <f t="shared" si="12"/>
        <v>59743.000000000189</v>
      </c>
      <c r="V31" s="101">
        <f t="shared" si="2"/>
        <v>56920.533243926431</v>
      </c>
      <c r="W31" s="101">
        <f t="shared" si="13"/>
        <v>56.920533243926428</v>
      </c>
      <c r="X31" s="101">
        <f>AVERAGE(W31,W107)</f>
        <v>55.233201433086691</v>
      </c>
      <c r="Y31" s="101"/>
      <c r="Z31" s="101"/>
      <c r="AA31" s="101">
        <f>(W31-W30)</f>
        <v>6.6794444701311377</v>
      </c>
      <c r="AB31" s="101"/>
      <c r="AC31" s="101">
        <f t="shared" si="10"/>
        <v>3.3397222350655689</v>
      </c>
      <c r="AD31" s="101">
        <f t="shared" si="3"/>
        <v>55.233201433086691</v>
      </c>
      <c r="AE31" s="101">
        <f t="shared" si="11"/>
        <v>27.616600716543346</v>
      </c>
      <c r="AF31" s="89">
        <v>30.6</v>
      </c>
      <c r="AG31" s="89">
        <v>0.1</v>
      </c>
      <c r="AH31" s="89">
        <v>42.4</v>
      </c>
      <c r="AI31" s="89">
        <v>686</v>
      </c>
      <c r="AJ31" s="103">
        <f t="shared" si="4"/>
        <v>140.9</v>
      </c>
    </row>
    <row r="32" spans="1:36" x14ac:dyDescent="0.25">
      <c r="A32" s="104">
        <v>44354</v>
      </c>
      <c r="B32" s="89">
        <v>68</v>
      </c>
      <c r="C32" s="89">
        <v>18.100000000000001</v>
      </c>
      <c r="D32" s="89">
        <v>771.98</v>
      </c>
      <c r="E32" s="89">
        <v>4471.5</v>
      </c>
      <c r="F32" s="89">
        <v>4481.8</v>
      </c>
      <c r="G32" s="89">
        <f>(F32-E32)</f>
        <v>10.300000000000182</v>
      </c>
      <c r="H32" s="89">
        <f t="shared" si="6"/>
        <v>5.1500000000000909</v>
      </c>
      <c r="I32" s="89">
        <f t="shared" ref="I32:I56" si="17">(I31+G32)+(F32-E32)</f>
        <v>285.40000000000146</v>
      </c>
      <c r="J32" s="89">
        <f t="shared" si="7"/>
        <v>285400.00000000146</v>
      </c>
      <c r="K32" s="101">
        <f t="shared" si="14"/>
        <v>271882.77650689095</v>
      </c>
      <c r="L32" s="101">
        <f t="shared" si="15"/>
        <v>271.88277650689093</v>
      </c>
      <c r="M32" s="101"/>
      <c r="N32" s="101"/>
      <c r="O32" s="101"/>
      <c r="P32" s="101"/>
      <c r="Q32" s="101">
        <f t="shared" si="0"/>
        <v>264.54746683939527</v>
      </c>
      <c r="R32" s="101"/>
      <c r="S32" s="89">
        <v>68.8</v>
      </c>
      <c r="T32" s="89">
        <f t="shared" si="1"/>
        <v>7086.4000000001251</v>
      </c>
      <c r="U32" s="89">
        <f t="shared" si="12"/>
        <v>66829.400000000314</v>
      </c>
      <c r="V32" s="101">
        <f t="shared" si="2"/>
        <v>63664.200505569759</v>
      </c>
      <c r="W32" s="101">
        <f t="shared" si="13"/>
        <v>63.66420050556976</v>
      </c>
      <c r="X32" s="101">
        <f t="shared" si="8"/>
        <v>61.495330438039005</v>
      </c>
      <c r="Y32" s="101"/>
      <c r="Z32" s="101"/>
      <c r="AA32" s="101">
        <f t="shared" si="9"/>
        <v>6.7436672616433313</v>
      </c>
      <c r="AB32" s="101"/>
      <c r="AC32" s="101">
        <f t="shared" si="10"/>
        <v>3.3718336308216657</v>
      </c>
      <c r="AD32" s="101">
        <f t="shared" si="3"/>
        <v>61.495330438039005</v>
      </c>
      <c r="AE32" s="101">
        <f t="shared" si="11"/>
        <v>30.747665219019503</v>
      </c>
      <c r="AF32" s="89">
        <v>30.3</v>
      </c>
      <c r="AG32" s="89">
        <v>0.2</v>
      </c>
      <c r="AH32" s="89">
        <v>40.9</v>
      </c>
      <c r="AI32" s="89">
        <v>707</v>
      </c>
      <c r="AJ32" s="103">
        <f t="shared" si="4"/>
        <v>140.19999999999999</v>
      </c>
    </row>
    <row r="33" spans="1:36" x14ac:dyDescent="0.25">
      <c r="A33" s="104">
        <v>44356</v>
      </c>
      <c r="B33" s="89">
        <v>70</v>
      </c>
      <c r="C33" s="89">
        <v>18.399999999999999</v>
      </c>
      <c r="D33" s="89">
        <v>773.2</v>
      </c>
      <c r="E33" s="89">
        <v>4481.8</v>
      </c>
      <c r="F33" s="89">
        <v>4492</v>
      </c>
      <c r="G33" s="89">
        <f>(F33-E33)</f>
        <v>10.199999999999818</v>
      </c>
      <c r="H33" s="89">
        <f t="shared" si="6"/>
        <v>5.0999999999999091</v>
      </c>
      <c r="I33" s="89">
        <f t="shared" si="17"/>
        <v>305.80000000000109</v>
      </c>
      <c r="J33" s="89">
        <f t="shared" si="7"/>
        <v>305800.00000000111</v>
      </c>
      <c r="K33" s="101">
        <f>((D33*J33)/((273.15+C33)*760))*273.15</f>
        <v>291476.73308722093</v>
      </c>
      <c r="L33" s="101">
        <f>(K33/1000)</f>
        <v>291.47673308722091</v>
      </c>
      <c r="M33" s="101"/>
      <c r="N33" s="101"/>
      <c r="O33" s="101"/>
      <c r="P33" s="101"/>
      <c r="Q33" s="101">
        <f t="shared" si="0"/>
        <v>282.99359729756617</v>
      </c>
      <c r="R33" s="101"/>
      <c r="S33" s="89">
        <v>65.5</v>
      </c>
      <c r="T33" s="89">
        <f t="shared" si="1"/>
        <v>6680.9999999998809</v>
      </c>
      <c r="U33" s="89">
        <f t="shared" si="12"/>
        <v>73510.400000000198</v>
      </c>
      <c r="V33" s="101">
        <f t="shared" si="2"/>
        <v>70067.270241775113</v>
      </c>
      <c r="W33" s="101">
        <f>(V33/1000)</f>
        <v>70.06727024177512</v>
      </c>
      <c r="X33" s="101">
        <f t="shared" si="8"/>
        <v>67.561218486925711</v>
      </c>
      <c r="Y33" s="101"/>
      <c r="Z33" s="101"/>
      <c r="AA33" s="101">
        <f t="shared" si="9"/>
        <v>6.4030697362053601</v>
      </c>
      <c r="AB33" s="101"/>
      <c r="AC33" s="101">
        <f t="shared" si="10"/>
        <v>3.2015348681026801</v>
      </c>
      <c r="AD33" s="101">
        <f t="shared" si="3"/>
        <v>67.561218486925711</v>
      </c>
      <c r="AE33" s="101">
        <f t="shared" si="11"/>
        <v>33.780609243462855</v>
      </c>
      <c r="AF33" s="89">
        <v>29.5</v>
      </c>
      <c r="AG33" s="89">
        <v>0.2</v>
      </c>
      <c r="AH33" s="89">
        <v>39.1</v>
      </c>
      <c r="AI33" s="89">
        <v>763</v>
      </c>
      <c r="AJ33" s="103">
        <f t="shared" si="4"/>
        <v>134.30000000000001</v>
      </c>
    </row>
    <row r="34" spans="1:36" x14ac:dyDescent="0.25">
      <c r="A34" s="104">
        <v>44358</v>
      </c>
      <c r="B34" s="89">
        <v>72</v>
      </c>
      <c r="C34" s="89">
        <v>18.399999999999999</v>
      </c>
      <c r="D34" s="89">
        <v>773.2</v>
      </c>
      <c r="E34" s="89">
        <v>4492</v>
      </c>
      <c r="F34" s="89">
        <v>4502</v>
      </c>
      <c r="G34" s="89">
        <f t="shared" si="5"/>
        <v>10</v>
      </c>
      <c r="H34" s="89">
        <f t="shared" si="6"/>
        <v>5</v>
      </c>
      <c r="I34" s="89">
        <f t="shared" si="17"/>
        <v>325.80000000000109</v>
      </c>
      <c r="J34" s="89">
        <f t="shared" si="7"/>
        <v>325800.00000000111</v>
      </c>
      <c r="K34" s="101">
        <f t="shared" ref="K34:K70" si="18">((D34*J34)/((273.15+C34)*760))*273.15</f>
        <v>310539.95958082593</v>
      </c>
      <c r="L34" s="101">
        <f t="shared" ref="L34:L70" si="19">(K34/1000)</f>
        <v>310.53995958082595</v>
      </c>
      <c r="M34" s="101"/>
      <c r="N34" s="101"/>
      <c r="O34" s="101"/>
      <c r="P34" s="101"/>
      <c r="Q34" s="101">
        <f t="shared" si="0"/>
        <v>301.10366246649096</v>
      </c>
      <c r="R34" s="101"/>
      <c r="S34" s="89">
        <v>67.599999999999994</v>
      </c>
      <c r="T34" s="89">
        <f t="shared" si="1"/>
        <v>6760</v>
      </c>
      <c r="U34" s="89">
        <f t="shared" si="12"/>
        <v>80270.400000000198</v>
      </c>
      <c r="V34" s="101">
        <f t="shared" si="2"/>
        <v>76510.640796613574</v>
      </c>
      <c r="W34" s="101">
        <f t="shared" ref="W34:W70" si="20">(V34/1000)</f>
        <v>76.510640796613572</v>
      </c>
      <c r="X34" s="101">
        <f t="shared" si="8"/>
        <v>73.579479090956781</v>
      </c>
      <c r="Y34" s="101"/>
      <c r="Z34" s="101"/>
      <c r="AA34" s="101">
        <f t="shared" si="9"/>
        <v>6.4433705548384523</v>
      </c>
      <c r="AB34" s="101"/>
      <c r="AC34" s="101">
        <f t="shared" si="10"/>
        <v>3.2216852774192262</v>
      </c>
      <c r="AD34" s="101">
        <f t="shared" si="3"/>
        <v>73.579479090956781</v>
      </c>
      <c r="AE34" s="101">
        <f t="shared" si="11"/>
        <v>36.78973954547839</v>
      </c>
    </row>
    <row r="35" spans="1:36" x14ac:dyDescent="0.25">
      <c r="A35" s="104">
        <v>44361</v>
      </c>
      <c r="B35" s="89">
        <v>75</v>
      </c>
      <c r="C35" s="89">
        <v>18.399999999999999</v>
      </c>
      <c r="D35" s="89">
        <v>773.2</v>
      </c>
      <c r="E35" s="89">
        <v>4502</v>
      </c>
      <c r="F35" s="89">
        <v>4511.8999999999996</v>
      </c>
      <c r="G35" s="89">
        <f t="shared" si="5"/>
        <v>9.8999999999996362</v>
      </c>
      <c r="H35" s="89">
        <f t="shared" si="6"/>
        <v>4.9499999999998181</v>
      </c>
      <c r="I35" s="89">
        <f t="shared" si="17"/>
        <v>345.60000000000036</v>
      </c>
      <c r="J35" s="89">
        <f t="shared" si="7"/>
        <v>345600.00000000035</v>
      </c>
      <c r="K35" s="101">
        <f t="shared" si="18"/>
        <v>329412.55380949413</v>
      </c>
      <c r="L35" s="101">
        <f t="shared" si="19"/>
        <v>329.41255380949411</v>
      </c>
      <c r="M35" s="101"/>
      <c r="N35" s="101"/>
      <c r="O35" s="101"/>
      <c r="P35" s="101"/>
      <c r="Q35" s="101">
        <f t="shared" ref="Q35:Q66" si="21">AVERAGE(L35,L111)</f>
        <v>318.165250178267</v>
      </c>
      <c r="R35" s="101"/>
      <c r="S35" s="89">
        <v>68.7</v>
      </c>
      <c r="T35" s="89">
        <f t="shared" ref="T35:T66" si="22">(G35*S35)*10</f>
        <v>6801.2999999997501</v>
      </c>
      <c r="U35" s="89">
        <f t="shared" si="12"/>
        <v>87071.699999999953</v>
      </c>
      <c r="V35" s="101">
        <f t="shared" ref="V35:V66" si="23">((D35*U35)/((273.15+C35)*760))*273.15</f>
        <v>82993.376914161112</v>
      </c>
      <c r="W35" s="101">
        <f t="shared" si="20"/>
        <v>82.993376914161118</v>
      </c>
      <c r="X35" s="101">
        <f t="shared" si="8"/>
        <v>79.482073568237809</v>
      </c>
      <c r="Y35" s="101"/>
      <c r="Z35" s="101"/>
      <c r="AA35" s="101">
        <f t="shared" si="9"/>
        <v>6.482736117547546</v>
      </c>
      <c r="AB35" s="101"/>
      <c r="AC35" s="101">
        <f t="shared" si="10"/>
        <v>3.241368058773773</v>
      </c>
      <c r="AD35" s="101">
        <f t="shared" ref="AD35:AD66" si="24">AVERAGE(W35,W111)</f>
        <v>79.482073568237809</v>
      </c>
      <c r="AE35" s="101">
        <f t="shared" si="11"/>
        <v>39.741036784118904</v>
      </c>
    </row>
    <row r="36" spans="1:36" x14ac:dyDescent="0.25">
      <c r="A36" s="104">
        <v>44363</v>
      </c>
      <c r="B36" s="89">
        <v>77</v>
      </c>
      <c r="C36" s="89">
        <v>18.399999999999999</v>
      </c>
      <c r="D36" s="89">
        <v>773.2</v>
      </c>
      <c r="E36" s="89">
        <v>4511.8999999999996</v>
      </c>
      <c r="F36" s="89">
        <v>4523.8</v>
      </c>
      <c r="G36" s="89">
        <f t="shared" si="5"/>
        <v>11.900000000000546</v>
      </c>
      <c r="H36" s="89">
        <f t="shared" si="6"/>
        <v>5.9500000000002728</v>
      </c>
      <c r="I36" s="89">
        <f t="shared" si="17"/>
        <v>369.40000000000146</v>
      </c>
      <c r="J36" s="89">
        <f t="shared" si="7"/>
        <v>369400.00000000146</v>
      </c>
      <c r="K36" s="101">
        <f t="shared" si="18"/>
        <v>352097.79333688499</v>
      </c>
      <c r="L36" s="101">
        <f t="shared" si="19"/>
        <v>352.09779333688499</v>
      </c>
      <c r="M36" s="101"/>
      <c r="N36" s="101"/>
      <c r="O36" s="101"/>
      <c r="P36" s="101"/>
      <c r="Q36" s="101">
        <f t="shared" si="21"/>
        <v>338.08632186408465</v>
      </c>
      <c r="R36" s="101"/>
      <c r="S36" s="89">
        <v>65.3</v>
      </c>
      <c r="T36" s="89">
        <f t="shared" si="22"/>
        <v>7770.7000000003563</v>
      </c>
      <c r="U36" s="89">
        <f t="shared" si="12"/>
        <v>94842.400000000314</v>
      </c>
      <c r="V36" s="101">
        <f t="shared" si="23"/>
        <v>90400.107619854272</v>
      </c>
      <c r="W36" s="101">
        <f t="shared" si="20"/>
        <v>90.400107619854268</v>
      </c>
      <c r="X36" s="101">
        <f t="shared" si="8"/>
        <v>86.029195733267898</v>
      </c>
      <c r="Y36" s="101"/>
      <c r="Z36" s="101"/>
      <c r="AA36" s="101">
        <f t="shared" ref="AA36:AA68" si="25">(W36-W35)</f>
        <v>7.4067307056931497</v>
      </c>
      <c r="AB36" s="101"/>
      <c r="AC36" s="101">
        <f t="shared" si="10"/>
        <v>3.7033653528465749</v>
      </c>
      <c r="AD36" s="101">
        <f t="shared" si="24"/>
        <v>86.029195733267898</v>
      </c>
      <c r="AE36" s="101">
        <f t="shared" si="11"/>
        <v>43.014597866633949</v>
      </c>
    </row>
    <row r="37" spans="1:36" x14ac:dyDescent="0.25">
      <c r="A37" s="104">
        <v>44365</v>
      </c>
      <c r="B37" s="89">
        <v>79</v>
      </c>
      <c r="C37" s="89">
        <v>18.399999999999999</v>
      </c>
      <c r="D37" s="89">
        <v>773.2</v>
      </c>
      <c r="E37" s="89">
        <v>4523.8</v>
      </c>
      <c r="F37" s="89">
        <v>4535.2</v>
      </c>
      <c r="G37" s="89">
        <f t="shared" si="5"/>
        <v>11.399999999999636</v>
      </c>
      <c r="H37" s="89">
        <f t="shared" si="6"/>
        <v>5.6999999999998181</v>
      </c>
      <c r="I37" s="89">
        <f t="shared" si="17"/>
        <v>392.20000000000073</v>
      </c>
      <c r="J37" s="89">
        <f t="shared" si="7"/>
        <v>392200.0000000007</v>
      </c>
      <c r="K37" s="101">
        <f t="shared" si="18"/>
        <v>373829.87153959391</v>
      </c>
      <c r="L37" s="101">
        <f t="shared" si="19"/>
        <v>373.82987153959391</v>
      </c>
      <c r="M37" s="101"/>
      <c r="N37" s="101"/>
      <c r="O37" s="101"/>
      <c r="P37" s="101"/>
      <c r="Q37" s="101">
        <f t="shared" si="21"/>
        <v>359.43713553692186</v>
      </c>
      <c r="R37" s="101"/>
      <c r="S37" s="89">
        <v>68</v>
      </c>
      <c r="T37" s="89">
        <f t="shared" si="22"/>
        <v>7751.9999999997526</v>
      </c>
      <c r="U37" s="89">
        <f t="shared" si="12"/>
        <v>102594.40000000007</v>
      </c>
      <c r="V37" s="101">
        <f t="shared" si="23"/>
        <v>97789.014208775319</v>
      </c>
      <c r="W37" s="101">
        <f t="shared" si="20"/>
        <v>97.789014208775313</v>
      </c>
      <c r="X37" s="101">
        <f t="shared" si="8"/>
        <v>93.293714769318299</v>
      </c>
      <c r="Y37" s="101"/>
      <c r="Z37" s="101"/>
      <c r="AA37" s="101">
        <f t="shared" si="25"/>
        <v>7.3889065889210457</v>
      </c>
      <c r="AB37" s="101"/>
      <c r="AC37" s="101">
        <f t="shared" si="10"/>
        <v>3.6944532944605228</v>
      </c>
      <c r="AD37" s="101">
        <f t="shared" si="24"/>
        <v>93.293714769318299</v>
      </c>
      <c r="AE37" s="101">
        <f t="shared" si="11"/>
        <v>46.64685738465915</v>
      </c>
    </row>
    <row r="38" spans="1:36" x14ac:dyDescent="0.25">
      <c r="A38" s="104">
        <v>44368</v>
      </c>
      <c r="B38" s="89">
        <v>82</v>
      </c>
      <c r="C38" s="89">
        <v>18.399999999999999</v>
      </c>
      <c r="D38" s="89">
        <v>773.2</v>
      </c>
      <c r="E38" s="89">
        <v>4535.2</v>
      </c>
      <c r="F38" s="89">
        <v>4545.8999999999996</v>
      </c>
      <c r="G38" s="89">
        <f t="shared" si="5"/>
        <v>10.699999999999818</v>
      </c>
      <c r="H38" s="89">
        <f t="shared" si="6"/>
        <v>5.3499999999999091</v>
      </c>
      <c r="I38" s="89">
        <f t="shared" si="17"/>
        <v>413.60000000000036</v>
      </c>
      <c r="J38" s="89">
        <f t="shared" si="7"/>
        <v>413600.00000000035</v>
      </c>
      <c r="K38" s="101">
        <f t="shared" si="18"/>
        <v>394227.52388775098</v>
      </c>
      <c r="L38" s="101">
        <f t="shared" si="19"/>
        <v>394.22752388775098</v>
      </c>
      <c r="M38" s="101"/>
      <c r="N38" s="101"/>
      <c r="O38" s="101"/>
      <c r="P38" s="101"/>
      <c r="Q38" s="101">
        <f t="shared" si="21"/>
        <v>379.16757495780291</v>
      </c>
      <c r="R38" s="101"/>
      <c r="S38" s="89">
        <v>69.8</v>
      </c>
      <c r="T38" s="89">
        <f t="shared" si="22"/>
        <v>7468.599999999873</v>
      </c>
      <c r="U38" s="89">
        <f t="shared" si="12"/>
        <v>110062.99999999994</v>
      </c>
      <c r="V38" s="101">
        <f t="shared" si="23"/>
        <v>104907.79487828209</v>
      </c>
      <c r="W38" s="101">
        <f t="shared" si="20"/>
        <v>104.90779487828209</v>
      </c>
      <c r="X38" s="101">
        <f t="shared" si="8"/>
        <v>100.17010651395896</v>
      </c>
      <c r="Y38" s="101"/>
      <c r="Z38" s="101"/>
      <c r="AA38" s="101">
        <f t="shared" si="25"/>
        <v>7.1187806695067763</v>
      </c>
      <c r="AB38" s="101"/>
      <c r="AC38" s="101">
        <f t="shared" si="10"/>
        <v>3.5593903347533882</v>
      </c>
      <c r="AD38" s="101">
        <f t="shared" si="24"/>
        <v>100.17010651395896</v>
      </c>
      <c r="AE38" s="101">
        <f t="shared" si="11"/>
        <v>50.085053256979478</v>
      </c>
    </row>
    <row r="39" spans="1:36" x14ac:dyDescent="0.25">
      <c r="A39" s="104">
        <v>44371</v>
      </c>
      <c r="B39" s="89">
        <v>84</v>
      </c>
      <c r="C39" s="89">
        <v>18.399999999999999</v>
      </c>
      <c r="D39" s="89">
        <v>773.2</v>
      </c>
      <c r="E39" s="89">
        <v>4545.8999999999996</v>
      </c>
      <c r="F39" s="89">
        <v>4552.8</v>
      </c>
      <c r="G39" s="89">
        <f t="shared" si="5"/>
        <v>6.9000000000005457</v>
      </c>
      <c r="H39" s="89">
        <f t="shared" si="6"/>
        <v>3.4500000000002728</v>
      </c>
      <c r="I39" s="89">
        <f t="shared" si="17"/>
        <v>427.40000000000146</v>
      </c>
      <c r="J39" s="89">
        <f t="shared" si="7"/>
        <v>427400.00000000146</v>
      </c>
      <c r="K39" s="101">
        <f t="shared" si="18"/>
        <v>407381.15016833943</v>
      </c>
      <c r="L39" s="101">
        <f t="shared" si="19"/>
        <v>407.38115016833945</v>
      </c>
      <c r="M39" s="101"/>
      <c r="N39" s="101"/>
      <c r="O39" s="101"/>
      <c r="P39" s="101"/>
      <c r="Q39" s="101">
        <f t="shared" si="21"/>
        <v>392.41651737085886</v>
      </c>
      <c r="R39" s="101"/>
      <c r="S39" s="89">
        <v>64.8</v>
      </c>
      <c r="T39" s="89">
        <f t="shared" si="22"/>
        <v>4471.2000000003536</v>
      </c>
      <c r="U39" s="89">
        <f t="shared" si="12"/>
        <v>114534.2000000003</v>
      </c>
      <c r="V39" s="101">
        <f t="shared" si="23"/>
        <v>109169.56979319277</v>
      </c>
      <c r="W39" s="101">
        <f t="shared" si="20"/>
        <v>109.16956979319278</v>
      </c>
      <c r="X39" s="101">
        <f t="shared" si="8"/>
        <v>104.48945237288015</v>
      </c>
      <c r="Y39" s="101"/>
      <c r="Z39" s="101"/>
      <c r="AA39" s="101">
        <f t="shared" si="25"/>
        <v>4.2617749149106885</v>
      </c>
      <c r="AB39" s="101"/>
      <c r="AC39" s="101">
        <f t="shared" si="10"/>
        <v>2.1308874574553442</v>
      </c>
      <c r="AD39" s="101">
        <f t="shared" si="24"/>
        <v>104.48945237288015</v>
      </c>
      <c r="AE39" s="101">
        <f t="shared" si="11"/>
        <v>52.244726186440076</v>
      </c>
    </row>
    <row r="40" spans="1:36" x14ac:dyDescent="0.25">
      <c r="A40" s="104">
        <v>44372</v>
      </c>
      <c r="B40" s="89">
        <v>86</v>
      </c>
      <c r="C40" s="89">
        <v>18.399999999999999</v>
      </c>
      <c r="D40" s="89">
        <v>773.2</v>
      </c>
      <c r="E40" s="89">
        <v>4552.8</v>
      </c>
      <c r="F40" s="89">
        <v>4559.3999999999996</v>
      </c>
      <c r="G40" s="89">
        <f t="shared" si="5"/>
        <v>6.5999999999994543</v>
      </c>
      <c r="H40" s="89">
        <f t="shared" si="6"/>
        <v>3.2999999999997272</v>
      </c>
      <c r="I40" s="89">
        <f t="shared" si="17"/>
        <v>440.60000000000036</v>
      </c>
      <c r="J40" s="89">
        <f t="shared" si="7"/>
        <v>440600.00000000035</v>
      </c>
      <c r="K40" s="101">
        <f t="shared" si="18"/>
        <v>419962.87965411769</v>
      </c>
      <c r="L40" s="101">
        <f t="shared" si="19"/>
        <v>419.96287965411767</v>
      </c>
      <c r="M40" s="101"/>
      <c r="N40" s="101"/>
      <c r="O40" s="101"/>
      <c r="P40" s="101"/>
      <c r="Q40" s="101">
        <f t="shared" si="21"/>
        <v>404.42635006182945</v>
      </c>
      <c r="R40" s="101"/>
      <c r="S40" s="89">
        <v>62.4</v>
      </c>
      <c r="T40" s="89">
        <f t="shared" si="22"/>
        <v>4118.3999999996595</v>
      </c>
      <c r="U40" s="89">
        <f t="shared" si="12"/>
        <v>118652.59999999996</v>
      </c>
      <c r="V40" s="101">
        <f t="shared" si="23"/>
        <v>113095.06939275558</v>
      </c>
      <c r="W40" s="101">
        <f t="shared" si="20"/>
        <v>113.09506939275559</v>
      </c>
      <c r="X40" s="101">
        <f t="shared" si="8"/>
        <v>108.44812198654199</v>
      </c>
      <c r="Y40" s="101"/>
      <c r="Z40" s="101"/>
      <c r="AA40" s="101">
        <f t="shared" si="25"/>
        <v>3.9254995995628121</v>
      </c>
      <c r="AB40" s="101"/>
      <c r="AC40" s="101">
        <f t="shared" si="10"/>
        <v>1.9627497997814061</v>
      </c>
      <c r="AD40" s="101">
        <f t="shared" si="24"/>
        <v>108.44812198654199</v>
      </c>
      <c r="AE40" s="101">
        <f t="shared" si="11"/>
        <v>54.224060993270996</v>
      </c>
    </row>
    <row r="41" spans="1:36" x14ac:dyDescent="0.25">
      <c r="A41" s="104">
        <v>44375</v>
      </c>
      <c r="B41" s="89">
        <v>89</v>
      </c>
      <c r="C41" s="89">
        <v>18.399999999999999</v>
      </c>
      <c r="D41" s="89">
        <v>773.2</v>
      </c>
      <c r="E41" s="89">
        <v>4559.3999999999996</v>
      </c>
      <c r="F41" s="89">
        <v>4569</v>
      </c>
      <c r="G41" s="89">
        <f t="shared" si="5"/>
        <v>9.6000000000003638</v>
      </c>
      <c r="H41" s="89">
        <f>(G41/2)</f>
        <v>4.8000000000001819</v>
      </c>
      <c r="I41" s="89">
        <f t="shared" si="17"/>
        <v>459.80000000000109</v>
      </c>
      <c r="J41" s="89">
        <f t="shared" si="7"/>
        <v>459800.00000000111</v>
      </c>
      <c r="K41" s="101">
        <f t="shared" si="18"/>
        <v>438263.57708797918</v>
      </c>
      <c r="L41" s="101">
        <f t="shared" si="19"/>
        <v>438.26357708797917</v>
      </c>
      <c r="M41" s="101"/>
      <c r="N41" s="101"/>
      <c r="O41" s="101"/>
      <c r="P41" s="101"/>
      <c r="Q41" s="101">
        <f t="shared" si="21"/>
        <v>421.73819359907122</v>
      </c>
      <c r="R41" s="101"/>
      <c r="S41" s="89">
        <v>69.599999999999994</v>
      </c>
      <c r="T41" s="89">
        <f t="shared" si="22"/>
        <v>6681.6000000002532</v>
      </c>
      <c r="U41" s="89">
        <f t="shared" si="12"/>
        <v>125334.20000000022</v>
      </c>
      <c r="V41" s="101">
        <f t="shared" si="23"/>
        <v>119463.71209973936</v>
      </c>
      <c r="W41" s="101">
        <f t="shared" si="20"/>
        <v>119.46371209973937</v>
      </c>
      <c r="X41" s="101">
        <f t="shared" si="8"/>
        <v>114.5563882947511</v>
      </c>
      <c r="Y41" s="101"/>
      <c r="Z41" s="101"/>
      <c r="AA41" s="101">
        <f t="shared" si="25"/>
        <v>6.3686427069837777</v>
      </c>
      <c r="AB41" s="101"/>
      <c r="AC41" s="101">
        <f t="shared" si="10"/>
        <v>3.1843213534918888</v>
      </c>
      <c r="AD41" s="101">
        <f t="shared" si="24"/>
        <v>114.5563882947511</v>
      </c>
      <c r="AE41" s="101">
        <f t="shared" si="11"/>
        <v>57.278194147375551</v>
      </c>
    </row>
    <row r="42" spans="1:36" x14ac:dyDescent="0.25">
      <c r="A42" s="104">
        <v>44377</v>
      </c>
      <c r="B42" s="89">
        <v>91</v>
      </c>
      <c r="C42" s="89">
        <v>16</v>
      </c>
      <c r="D42" s="89">
        <v>773.2</v>
      </c>
      <c r="E42" s="89">
        <v>4569</v>
      </c>
      <c r="F42" s="89">
        <v>4571.1000000000004</v>
      </c>
      <c r="G42" s="89">
        <f>(F42-E42)</f>
        <v>2.1000000000003638</v>
      </c>
      <c r="H42" s="89">
        <f>(G42/2)</f>
        <v>1.0500000000001819</v>
      </c>
      <c r="I42" s="89">
        <f t="shared" si="17"/>
        <v>464.00000000000182</v>
      </c>
      <c r="J42" s="89">
        <f t="shared" si="7"/>
        <v>464000.0000000018</v>
      </c>
      <c r="K42" s="101">
        <f t="shared" si="18"/>
        <v>445937.75367001467</v>
      </c>
      <c r="L42" s="101">
        <f>(K42/1000)</f>
        <v>445.93775367001467</v>
      </c>
      <c r="M42" s="101"/>
      <c r="N42" s="101">
        <f t="shared" ref="N42:N55" si="26">(L42-Q42)</f>
        <v>18.039192028753973</v>
      </c>
      <c r="O42" s="101">
        <v>0</v>
      </c>
      <c r="P42" s="101"/>
      <c r="Q42" s="101">
        <f t="shared" si="21"/>
        <v>427.8985616412607</v>
      </c>
      <c r="R42" s="101">
        <f>AVERAGE(Q42:Q56)</f>
        <v>489.34831188521764</v>
      </c>
      <c r="S42" s="89">
        <v>67.400000000000006</v>
      </c>
      <c r="T42" s="89">
        <f t="shared" si="22"/>
        <v>1415.4000000002452</v>
      </c>
      <c r="U42" s="89">
        <f t="shared" si="12"/>
        <v>126749.60000000046</v>
      </c>
      <c r="V42" s="101">
        <f t="shared" si="23"/>
        <v>121815.58599692429</v>
      </c>
      <c r="W42" s="101">
        <f t="shared" si="20"/>
        <v>121.81558599692428</v>
      </c>
      <c r="X42" s="101">
        <f t="shared" si="8"/>
        <v>116.48567667924274</v>
      </c>
      <c r="Y42" s="101">
        <v>0</v>
      </c>
      <c r="Z42" s="101">
        <v>0</v>
      </c>
      <c r="AA42" s="101">
        <f t="shared" si="25"/>
        <v>2.351873897184916</v>
      </c>
      <c r="AB42" s="101">
        <f>AVERAGE(AA42:AA56)</f>
        <v>3.065459034368101</v>
      </c>
      <c r="AC42" s="101">
        <f t="shared" si="10"/>
        <v>1.175936948592458</v>
      </c>
      <c r="AD42" s="101">
        <f t="shared" si="24"/>
        <v>116.48567667924274</v>
      </c>
      <c r="AE42" s="101">
        <f t="shared" si="11"/>
        <v>58.242838339621372</v>
      </c>
    </row>
    <row r="43" spans="1:36" x14ac:dyDescent="0.25">
      <c r="A43" s="94">
        <v>44379</v>
      </c>
      <c r="B43" s="89">
        <v>93</v>
      </c>
      <c r="C43" s="89">
        <v>18</v>
      </c>
      <c r="D43" s="89">
        <v>773.2</v>
      </c>
      <c r="E43" s="89">
        <v>4571.1000000000004</v>
      </c>
      <c r="F43" s="89">
        <v>4572.3</v>
      </c>
      <c r="G43" s="89">
        <f t="shared" si="5"/>
        <v>1.1999999999998181</v>
      </c>
      <c r="H43" s="89">
        <f t="shared" si="6"/>
        <v>0.59999999999990905</v>
      </c>
      <c r="I43" s="89">
        <f t="shared" si="17"/>
        <v>466.40000000000146</v>
      </c>
      <c r="J43" s="89">
        <f t="shared" si="7"/>
        <v>466400.00000000146</v>
      </c>
      <c r="K43" s="101">
        <f t="shared" si="18"/>
        <v>445165.19840559812</v>
      </c>
      <c r="L43" s="101">
        <f t="shared" si="19"/>
        <v>445.16519840559812</v>
      </c>
      <c r="M43" s="101"/>
      <c r="N43" s="101">
        <f t="shared" si="26"/>
        <v>16.699753071865473</v>
      </c>
      <c r="O43" s="101">
        <v>0</v>
      </c>
      <c r="P43" s="101">
        <f>SUM(O1)</f>
        <v>0</v>
      </c>
      <c r="Q43" s="101">
        <f t="shared" si="21"/>
        <v>428.46544533373265</v>
      </c>
      <c r="R43" s="101"/>
      <c r="S43" s="89">
        <v>65</v>
      </c>
      <c r="T43" s="89">
        <f t="shared" si="22"/>
        <v>779.99999999988177</v>
      </c>
      <c r="U43" s="89">
        <f t="shared" si="12"/>
        <v>127529.60000000034</v>
      </c>
      <c r="V43" s="101">
        <f t="shared" si="23"/>
        <v>121723.28406214953</v>
      </c>
      <c r="W43" s="101">
        <f t="shared" si="20"/>
        <v>121.72328406214953</v>
      </c>
      <c r="X43" s="101">
        <f>AVERAGE(W43,W119)</f>
        <v>116.75645185231154</v>
      </c>
      <c r="Y43" s="101">
        <f>(X43-X42)</f>
        <v>0.27077517306879884</v>
      </c>
      <c r="Z43" s="101">
        <f>SUM(Y42,Y43)</f>
        <v>0.27077517306879884</v>
      </c>
      <c r="AA43" s="101">
        <f t="shared" si="25"/>
        <v>-9.2301934774752681E-2</v>
      </c>
      <c r="AB43" s="101"/>
      <c r="AC43" s="101">
        <f t="shared" si="10"/>
        <v>-4.615096738737634E-2</v>
      </c>
      <c r="AD43" s="101">
        <f t="shared" si="24"/>
        <v>116.75645185231154</v>
      </c>
      <c r="AE43" s="101">
        <f t="shared" si="11"/>
        <v>58.378225926155771</v>
      </c>
    </row>
    <row r="44" spans="1:36" x14ac:dyDescent="0.25">
      <c r="A44" s="94">
        <v>44382</v>
      </c>
      <c r="B44" s="89">
        <v>96</v>
      </c>
      <c r="C44" s="89">
        <v>18</v>
      </c>
      <c r="D44" s="89">
        <v>773.2</v>
      </c>
      <c r="E44" s="89">
        <v>4572.3</v>
      </c>
      <c r="F44" s="89">
        <v>4573.8999999999996</v>
      </c>
      <c r="G44" s="89">
        <f t="shared" si="5"/>
        <v>1.5999999999994543</v>
      </c>
      <c r="H44" s="89">
        <f t="shared" si="6"/>
        <v>0.79999999999972715</v>
      </c>
      <c r="I44" s="89">
        <f t="shared" si="17"/>
        <v>469.60000000000036</v>
      </c>
      <c r="J44" s="89">
        <f t="shared" si="7"/>
        <v>469600.00000000035</v>
      </c>
      <c r="K44" s="101">
        <f t="shared" si="18"/>
        <v>448219.50508419465</v>
      </c>
      <c r="L44" s="101">
        <f t="shared" si="19"/>
        <v>448.21950508419462</v>
      </c>
      <c r="M44" s="101"/>
      <c r="N44" s="101">
        <f t="shared" si="26"/>
        <v>16.512345481168325</v>
      </c>
      <c r="O44" s="101">
        <f>(N42)</f>
        <v>18.039192028753973</v>
      </c>
      <c r="P44" s="101"/>
      <c r="Q44" s="101">
        <f t="shared" si="21"/>
        <v>431.7071596030263</v>
      </c>
      <c r="R44" s="101"/>
      <c r="S44" s="89">
        <v>63.2</v>
      </c>
      <c r="T44" s="89">
        <f t="shared" si="22"/>
        <v>1011.1999999996551</v>
      </c>
      <c r="U44" s="89">
        <f t="shared" si="12"/>
        <v>128540.79999999999</v>
      </c>
      <c r="V44" s="101">
        <f t="shared" si="23"/>
        <v>122688.44497258603</v>
      </c>
      <c r="W44" s="101">
        <f t="shared" si="20"/>
        <v>122.68844497258603</v>
      </c>
      <c r="X44" s="101">
        <f t="shared" si="8"/>
        <v>117.74676766078255</v>
      </c>
      <c r="Y44" s="101">
        <f>(X44-X43)</f>
        <v>0.99031580847100997</v>
      </c>
      <c r="Z44" s="101">
        <f>SUM(Y43,Y44)</f>
        <v>1.2610909815398088</v>
      </c>
      <c r="AA44" s="101">
        <f t="shared" si="25"/>
        <v>0.9651609104364951</v>
      </c>
      <c r="AB44" s="101"/>
      <c r="AC44" s="101">
        <f t="shared" si="10"/>
        <v>0.48258045521824755</v>
      </c>
      <c r="AD44" s="101">
        <f t="shared" si="24"/>
        <v>117.74676766078255</v>
      </c>
      <c r="AE44" s="101">
        <f t="shared" si="11"/>
        <v>58.873383830391276</v>
      </c>
    </row>
    <row r="45" spans="1:36" x14ac:dyDescent="0.25">
      <c r="A45" s="94">
        <v>44384</v>
      </c>
      <c r="B45" s="89">
        <v>98</v>
      </c>
      <c r="C45" s="89">
        <v>17</v>
      </c>
      <c r="D45" s="89">
        <v>773.2</v>
      </c>
      <c r="E45" s="89">
        <v>4573.8999999999996</v>
      </c>
      <c r="F45" s="89">
        <v>4574.8</v>
      </c>
      <c r="G45" s="89">
        <f t="shared" si="5"/>
        <v>0.9000000000005457</v>
      </c>
      <c r="H45" s="89">
        <f t="shared" si="6"/>
        <v>0.45000000000027285</v>
      </c>
      <c r="I45" s="89">
        <f t="shared" si="17"/>
        <v>471.40000000000146</v>
      </c>
      <c r="J45" s="89">
        <f t="shared" si="7"/>
        <v>471400.00000000146</v>
      </c>
      <c r="K45" s="101">
        <f t="shared" si="18"/>
        <v>451488.2593032656</v>
      </c>
      <c r="L45" s="101">
        <f t="shared" si="19"/>
        <v>451.48825930326558</v>
      </c>
      <c r="M45" s="101"/>
      <c r="N45" s="101">
        <f t="shared" si="26"/>
        <v>16.760807250333301</v>
      </c>
      <c r="O45" s="101">
        <f>(N43+N44)</f>
        <v>33.212098553033798</v>
      </c>
      <c r="P45" s="101"/>
      <c r="Q45" s="101">
        <f t="shared" si="21"/>
        <v>434.72745205293228</v>
      </c>
      <c r="R45" s="101"/>
      <c r="S45" s="89">
        <v>62.8</v>
      </c>
      <c r="T45" s="89">
        <f t="shared" si="22"/>
        <v>565.2000000003427</v>
      </c>
      <c r="U45" s="89">
        <f t="shared" si="12"/>
        <v>129106.00000000033</v>
      </c>
      <c r="V45" s="101">
        <f t="shared" si="23"/>
        <v>123652.61604923077</v>
      </c>
      <c r="W45" s="101">
        <f t="shared" si="20"/>
        <v>123.65261604923077</v>
      </c>
      <c r="X45" s="101">
        <f t="shared" si="8"/>
        <v>118.62806125172591</v>
      </c>
      <c r="Y45" s="101">
        <f t="shared" ref="Y45:Y62" si="27">(X45-X44)</f>
        <v>0.88129359094335769</v>
      </c>
      <c r="Z45" s="101">
        <f>SUM(Y43:Y44,Y45)</f>
        <v>2.1423845724831665</v>
      </c>
      <c r="AA45" s="101">
        <f t="shared" si="25"/>
        <v>0.96417107664474599</v>
      </c>
      <c r="AB45" s="101"/>
      <c r="AC45" s="101">
        <f t="shared" si="10"/>
        <v>0.482085538322373</v>
      </c>
      <c r="AD45" s="101">
        <f t="shared" si="24"/>
        <v>118.62806125172591</v>
      </c>
      <c r="AE45" s="101">
        <f t="shared" si="11"/>
        <v>59.314030625862955</v>
      </c>
    </row>
    <row r="46" spans="1:36" x14ac:dyDescent="0.25">
      <c r="A46" s="94">
        <v>44417</v>
      </c>
      <c r="B46" s="89">
        <v>100</v>
      </c>
      <c r="C46" s="89">
        <v>19</v>
      </c>
      <c r="D46" s="89">
        <v>773.2</v>
      </c>
      <c r="E46" s="89">
        <v>4573.8</v>
      </c>
      <c r="F46" s="89">
        <v>4575.2</v>
      </c>
      <c r="G46" s="89">
        <f t="shared" si="5"/>
        <v>1.3999999999996362</v>
      </c>
      <c r="H46" s="89">
        <f t="shared" si="6"/>
        <v>0.6999999999998181</v>
      </c>
      <c r="I46" s="89">
        <f t="shared" si="17"/>
        <v>474.20000000000073</v>
      </c>
      <c r="J46" s="89">
        <f t="shared" si="7"/>
        <v>474200.0000000007</v>
      </c>
      <c r="K46" s="101">
        <f t="shared" si="18"/>
        <v>451060.8322869477</v>
      </c>
      <c r="L46" s="101">
        <f t="shared" si="19"/>
        <v>451.06083228694769</v>
      </c>
      <c r="M46" s="101"/>
      <c r="N46" s="101">
        <f t="shared" si="26"/>
        <v>16.64606614302312</v>
      </c>
      <c r="O46" s="101">
        <f>(N45+N46+N44)</f>
        <v>49.919218874524745</v>
      </c>
      <c r="P46" s="101"/>
      <c r="Q46" s="101">
        <f t="shared" si="21"/>
        <v>434.41476614392457</v>
      </c>
      <c r="R46" s="101"/>
      <c r="S46" s="89">
        <v>58.6</v>
      </c>
      <c r="T46" s="89">
        <f t="shared" si="22"/>
        <v>820.39999999978693</v>
      </c>
      <c r="U46" s="89">
        <f t="shared" si="12"/>
        <v>129926.40000000013</v>
      </c>
      <c r="V46" s="101">
        <f t="shared" si="23"/>
        <v>123586.48274999337</v>
      </c>
      <c r="W46" s="101">
        <f t="shared" si="20"/>
        <v>123.58648274999338</v>
      </c>
      <c r="X46" s="101">
        <f t="shared" si="8"/>
        <v>118.61163942248953</v>
      </c>
      <c r="Y46" s="101">
        <f>(X46-X45)</f>
        <v>-1.6421829236378471E-2</v>
      </c>
      <c r="Z46" s="101">
        <f>SUM(Y43:Y45,Y46)</f>
        <v>2.125962743246788</v>
      </c>
      <c r="AA46" s="101">
        <f t="shared" si="25"/>
        <v>-6.6133299237392862E-2</v>
      </c>
      <c r="AB46" s="101"/>
      <c r="AC46" s="101">
        <f t="shared" si="10"/>
        <v>-3.3066649618696431E-2</v>
      </c>
      <c r="AD46" s="101">
        <f t="shared" si="24"/>
        <v>118.61163942248953</v>
      </c>
      <c r="AE46" s="101">
        <f t="shared" si="11"/>
        <v>59.305819711244766</v>
      </c>
    </row>
    <row r="47" spans="1:36" x14ac:dyDescent="0.25">
      <c r="A47" s="94">
        <v>44419</v>
      </c>
      <c r="B47" s="89">
        <v>102</v>
      </c>
      <c r="C47" s="89">
        <v>19.5</v>
      </c>
      <c r="D47" s="89">
        <v>773.2</v>
      </c>
      <c r="E47" s="89">
        <v>4575.2</v>
      </c>
      <c r="F47" s="89">
        <v>4583.6000000000004</v>
      </c>
      <c r="G47" s="89">
        <f t="shared" si="5"/>
        <v>8.4000000000005457</v>
      </c>
      <c r="H47" s="89">
        <f t="shared" si="6"/>
        <v>4.2000000000002728</v>
      </c>
      <c r="I47" s="89">
        <f t="shared" si="17"/>
        <v>491.00000000000182</v>
      </c>
      <c r="J47" s="89">
        <f t="shared" si="7"/>
        <v>491000.0000000018</v>
      </c>
      <c r="K47" s="101">
        <f t="shared" si="18"/>
        <v>466243.10421106761</v>
      </c>
      <c r="L47" s="101">
        <f t="shared" si="19"/>
        <v>466.24310421106759</v>
      </c>
      <c r="M47" s="101"/>
      <c r="N47" s="101">
        <f t="shared" si="26"/>
        <v>14.91540506499075</v>
      </c>
      <c r="O47" s="101">
        <f>(N46+N47+N45+N44)</f>
        <v>64.834623939515495</v>
      </c>
      <c r="P47" s="101"/>
      <c r="Q47" s="101">
        <f t="shared" si="21"/>
        <v>451.32769914607684</v>
      </c>
      <c r="R47" s="101"/>
      <c r="S47" s="89">
        <v>66.400000000000006</v>
      </c>
      <c r="T47" s="89">
        <f t="shared" si="22"/>
        <v>5577.6000000003623</v>
      </c>
      <c r="U47" s="89">
        <f t="shared" si="12"/>
        <v>135504.00000000049</v>
      </c>
      <c r="V47" s="101">
        <f t="shared" si="23"/>
        <v>128671.70181877089</v>
      </c>
      <c r="W47" s="101">
        <f t="shared" si="20"/>
        <v>128.67170181877088</v>
      </c>
      <c r="X47" s="101">
        <f t="shared" si="8"/>
        <v>124.42153881943062</v>
      </c>
      <c r="Y47" s="101">
        <f t="shared" si="27"/>
        <v>5.8098993969410913</v>
      </c>
      <c r="Z47" s="101">
        <f>SUM(Y43:Y46,Y47)</f>
        <v>7.9358621401878793</v>
      </c>
      <c r="AA47" s="101">
        <f t="shared" si="25"/>
        <v>5.085219068777505</v>
      </c>
      <c r="AB47" s="101"/>
      <c r="AC47" s="101">
        <f t="shared" si="10"/>
        <v>2.5426095343887525</v>
      </c>
      <c r="AD47" s="101">
        <f t="shared" si="24"/>
        <v>124.42153881943062</v>
      </c>
      <c r="AE47" s="101">
        <f t="shared" si="11"/>
        <v>62.210769409715311</v>
      </c>
    </row>
    <row r="48" spans="1:36" x14ac:dyDescent="0.25">
      <c r="A48" s="94">
        <v>44421</v>
      </c>
      <c r="B48" s="89">
        <v>104</v>
      </c>
      <c r="C48" s="89">
        <v>19</v>
      </c>
      <c r="D48" s="89">
        <v>773.2</v>
      </c>
      <c r="E48" s="89">
        <v>4583.6000000000004</v>
      </c>
      <c r="F48" s="89">
        <v>4591.8999999999996</v>
      </c>
      <c r="G48" s="89">
        <f t="shared" si="5"/>
        <v>8.2999999999992724</v>
      </c>
      <c r="H48" s="89">
        <f t="shared" si="6"/>
        <v>4.1499999999996362</v>
      </c>
      <c r="I48" s="89">
        <f t="shared" si="17"/>
        <v>507.60000000000036</v>
      </c>
      <c r="J48" s="89">
        <f t="shared" si="7"/>
        <v>507600.00000000035</v>
      </c>
      <c r="K48" s="101">
        <f t="shared" si="18"/>
        <v>482831.03852563159</v>
      </c>
      <c r="L48" s="101">
        <f t="shared" si="19"/>
        <v>482.83103852563158</v>
      </c>
      <c r="M48" s="101"/>
      <c r="N48" s="101">
        <f t="shared" si="26"/>
        <v>14.458297449940801</v>
      </c>
      <c r="O48" s="101">
        <f>(N47+N48+N46+N45+N44)</f>
        <v>79.292921389456296</v>
      </c>
      <c r="P48" s="101"/>
      <c r="Q48" s="101">
        <f t="shared" si="21"/>
        <v>468.37274107569078</v>
      </c>
      <c r="R48" s="101"/>
      <c r="S48" s="89">
        <v>68.400000000000006</v>
      </c>
      <c r="T48" s="89">
        <f t="shared" si="22"/>
        <v>5677.1999999995023</v>
      </c>
      <c r="U48" s="89">
        <f t="shared" si="12"/>
        <v>141181.20000000001</v>
      </c>
      <c r="V48" s="101">
        <f t="shared" si="23"/>
        <v>134292.09104865024</v>
      </c>
      <c r="W48" s="101">
        <f t="shared" si="20"/>
        <v>134.29209104865024</v>
      </c>
      <c r="X48" s="101">
        <f t="shared" si="8"/>
        <v>130.34711605332049</v>
      </c>
      <c r="Y48" s="101">
        <f>(X48-X47)</f>
        <v>5.925577233889868</v>
      </c>
      <c r="Z48" s="101">
        <f>SUM(Y43:Y47,Y48)</f>
        <v>13.861439374077747</v>
      </c>
      <c r="AA48" s="101">
        <f t="shared" si="25"/>
        <v>5.6203892298793505</v>
      </c>
      <c r="AB48" s="101"/>
      <c r="AC48" s="101">
        <f t="shared" si="10"/>
        <v>2.8101946149396753</v>
      </c>
      <c r="AD48" s="101">
        <f t="shared" si="24"/>
        <v>130.34711605332049</v>
      </c>
      <c r="AE48" s="101">
        <f t="shared" si="11"/>
        <v>65.173558026660245</v>
      </c>
    </row>
    <row r="49" spans="1:31" x14ac:dyDescent="0.25">
      <c r="A49" s="94">
        <v>44424</v>
      </c>
      <c r="B49" s="89">
        <v>107</v>
      </c>
      <c r="C49" s="89">
        <v>19</v>
      </c>
      <c r="D49" s="89">
        <v>773.2</v>
      </c>
      <c r="E49" s="89">
        <v>4591.8999999999996</v>
      </c>
      <c r="F49" s="89">
        <v>4599.6000000000004</v>
      </c>
      <c r="G49" s="89">
        <f t="shared" si="5"/>
        <v>7.7000000000007276</v>
      </c>
      <c r="H49" s="89">
        <f t="shared" si="6"/>
        <v>3.8500000000003638</v>
      </c>
      <c r="I49" s="89">
        <f t="shared" si="17"/>
        <v>523.00000000000182</v>
      </c>
      <c r="J49" s="89">
        <f t="shared" si="7"/>
        <v>523000.0000000018</v>
      </c>
      <c r="K49" s="101">
        <f t="shared" si="18"/>
        <v>497479.57673149335</v>
      </c>
      <c r="L49" s="101">
        <f t="shared" si="19"/>
        <v>497.47957673149335</v>
      </c>
      <c r="M49" s="101"/>
      <c r="N49" s="101">
        <f t="shared" si="26"/>
        <v>13.602214048300141</v>
      </c>
      <c r="O49" s="105">
        <f>(N48+N49+N47+N46+N45+N44)</f>
        <v>92.895135437756437</v>
      </c>
      <c r="P49" s="101"/>
      <c r="Q49" s="101">
        <f t="shared" si="21"/>
        <v>483.87736268319321</v>
      </c>
      <c r="R49" s="101"/>
      <c r="S49" s="89">
        <v>68.8</v>
      </c>
      <c r="T49" s="89">
        <f t="shared" si="22"/>
        <v>5297.6000000005006</v>
      </c>
      <c r="U49" s="89">
        <f t="shared" si="12"/>
        <v>146478.80000000051</v>
      </c>
      <c r="V49" s="101">
        <f t="shared" si="23"/>
        <v>139331.18819146667</v>
      </c>
      <c r="W49" s="101">
        <f t="shared" si="20"/>
        <v>139.33118819146668</v>
      </c>
      <c r="X49" s="101">
        <f t="shared" si="8"/>
        <v>135.70933712006732</v>
      </c>
      <c r="Y49" s="101">
        <f t="shared" si="27"/>
        <v>5.3622210667468266</v>
      </c>
      <c r="Z49" s="101">
        <f>SUM(Y43:Y48,Y49)</f>
        <v>19.223660440824574</v>
      </c>
      <c r="AA49" s="101">
        <f t="shared" si="25"/>
        <v>5.0390971428164448</v>
      </c>
      <c r="AB49" s="101"/>
      <c r="AC49" s="101">
        <f t="shared" si="10"/>
        <v>2.5195485714082224</v>
      </c>
      <c r="AD49" s="101">
        <f t="shared" si="24"/>
        <v>135.70933712006732</v>
      </c>
      <c r="AE49" s="101">
        <f t="shared" si="11"/>
        <v>67.854668560033659</v>
      </c>
    </row>
    <row r="50" spans="1:31" x14ac:dyDescent="0.25">
      <c r="A50" s="94">
        <v>44426</v>
      </c>
      <c r="B50" s="89">
        <v>109</v>
      </c>
      <c r="C50" s="89">
        <v>20</v>
      </c>
      <c r="D50" s="89">
        <v>773.2</v>
      </c>
      <c r="E50" s="89">
        <v>4599.6000000000004</v>
      </c>
      <c r="F50" s="89">
        <v>4606.7</v>
      </c>
      <c r="G50" s="89">
        <f t="shared" si="5"/>
        <v>7.0999999999994543</v>
      </c>
      <c r="H50" s="89">
        <f t="shared" si="6"/>
        <v>3.5499999999997272</v>
      </c>
      <c r="I50" s="89">
        <f t="shared" si="17"/>
        <v>537.20000000000073</v>
      </c>
      <c r="J50" s="89">
        <f t="shared" si="7"/>
        <v>537200.0000000007</v>
      </c>
      <c r="K50" s="101">
        <f t="shared" si="18"/>
        <v>509243.58095819526</v>
      </c>
      <c r="L50" s="101">
        <f t="shared" si="19"/>
        <v>509.24358095819525</v>
      </c>
      <c r="M50" s="101"/>
      <c r="N50" s="101">
        <f t="shared" si="26"/>
        <v>11.944283544440964</v>
      </c>
      <c r="O50" s="101">
        <f>(N49+N50+N48+N47+N46+N45+N44)</f>
        <v>104.8394189821974</v>
      </c>
      <c r="P50" s="101"/>
      <c r="Q50" s="101">
        <f t="shared" si="21"/>
        <v>497.29929741375429</v>
      </c>
      <c r="R50" s="101"/>
      <c r="S50" s="89">
        <v>59.2</v>
      </c>
      <c r="T50" s="89">
        <f t="shared" si="22"/>
        <v>4203.1999999996769</v>
      </c>
      <c r="U50" s="89">
        <f t="shared" si="12"/>
        <v>150682.00000000017</v>
      </c>
      <c r="V50" s="101">
        <f t="shared" si="23"/>
        <v>142840.35976534395</v>
      </c>
      <c r="W50" s="101">
        <f t="shared" si="20"/>
        <v>142.84035976534395</v>
      </c>
      <c r="X50" s="101">
        <f t="shared" si="8"/>
        <v>139.92059861208554</v>
      </c>
      <c r="Y50" s="101">
        <f t="shared" si="27"/>
        <v>4.2112614920182239</v>
      </c>
      <c r="Z50" s="101">
        <f>SUM(Y43:Y49,Y50)</f>
        <v>23.434921932842798</v>
      </c>
      <c r="AA50" s="101">
        <f t="shared" si="25"/>
        <v>3.5091715738772677</v>
      </c>
      <c r="AB50" s="101"/>
      <c r="AC50" s="101">
        <f t="shared" si="10"/>
        <v>1.7545857869386339</v>
      </c>
      <c r="AD50" s="101">
        <f t="shared" si="24"/>
        <v>139.92059861208554</v>
      </c>
      <c r="AE50" s="101">
        <f t="shared" si="11"/>
        <v>69.960299306042771</v>
      </c>
    </row>
    <row r="51" spans="1:31" x14ac:dyDescent="0.25">
      <c r="A51" s="94">
        <v>44428</v>
      </c>
      <c r="B51" s="89">
        <v>111</v>
      </c>
      <c r="C51" s="89">
        <v>21</v>
      </c>
      <c r="D51" s="89">
        <v>773.2</v>
      </c>
      <c r="E51" s="89">
        <v>4606.7</v>
      </c>
      <c r="F51" s="89">
        <v>4613.8</v>
      </c>
      <c r="G51" s="89">
        <f t="shared" si="5"/>
        <v>7.1000000000003638</v>
      </c>
      <c r="H51" s="89">
        <f t="shared" si="6"/>
        <v>3.5500000000001819</v>
      </c>
      <c r="I51" s="89">
        <f t="shared" si="17"/>
        <v>551.40000000000146</v>
      </c>
      <c r="J51" s="89">
        <f t="shared" si="7"/>
        <v>551400.0000000014</v>
      </c>
      <c r="K51" s="101">
        <f t="shared" si="18"/>
        <v>520927.59875466471</v>
      </c>
      <c r="L51" s="101">
        <f t="shared" si="19"/>
        <v>520.9275987546647</v>
      </c>
      <c r="M51" s="101"/>
      <c r="N51" s="101">
        <f t="shared" si="26"/>
        <v>9.3494572406503949</v>
      </c>
      <c r="O51" s="101">
        <f>(N50+N51+N49+N48+N47+N46+N45+N44)</f>
        <v>114.1888762228478</v>
      </c>
      <c r="P51" s="101"/>
      <c r="Q51" s="101">
        <f t="shared" si="21"/>
        <v>511.57814151401431</v>
      </c>
      <c r="R51" s="101"/>
      <c r="S51" s="89">
        <v>55.5</v>
      </c>
      <c r="T51" s="89">
        <f t="shared" si="22"/>
        <v>3940.5000000002019</v>
      </c>
      <c r="U51" s="89">
        <f t="shared" si="12"/>
        <v>154622.50000000038</v>
      </c>
      <c r="V51" s="101">
        <f t="shared" si="23"/>
        <v>146077.48936968285</v>
      </c>
      <c r="W51" s="101">
        <f t="shared" si="20"/>
        <v>146.07748936968284</v>
      </c>
      <c r="X51" s="101">
        <f t="shared" si="8"/>
        <v>144.09974289806965</v>
      </c>
      <c r="Y51" s="101">
        <f t="shared" si="27"/>
        <v>4.1791442859841084</v>
      </c>
      <c r="Z51" s="101">
        <f>SUM(Y43:Y50,Y51)</f>
        <v>27.614066218826906</v>
      </c>
      <c r="AA51" s="101">
        <f t="shared" si="25"/>
        <v>3.2371296043388895</v>
      </c>
      <c r="AB51" s="101"/>
      <c r="AC51" s="101">
        <f t="shared" si="10"/>
        <v>1.6185648021694448</v>
      </c>
      <c r="AD51" s="101">
        <f t="shared" si="24"/>
        <v>144.09974289806965</v>
      </c>
      <c r="AE51" s="101">
        <f t="shared" si="11"/>
        <v>72.049871449034825</v>
      </c>
    </row>
    <row r="52" spans="1:31" x14ac:dyDescent="0.25">
      <c r="A52" s="94">
        <v>44431</v>
      </c>
      <c r="B52" s="89">
        <v>114</v>
      </c>
      <c r="C52" s="89">
        <v>20</v>
      </c>
      <c r="D52" s="89">
        <v>773.2</v>
      </c>
      <c r="E52" s="89">
        <v>4613.8</v>
      </c>
      <c r="F52" s="89">
        <v>4619.8999999999996</v>
      </c>
      <c r="G52" s="89">
        <f t="shared" si="5"/>
        <v>6.0999999999994543</v>
      </c>
      <c r="H52" s="89">
        <f t="shared" si="6"/>
        <v>3.0499999999997272</v>
      </c>
      <c r="I52" s="89">
        <f t="shared" si="17"/>
        <v>563.60000000000036</v>
      </c>
      <c r="J52" s="89">
        <f t="shared" si="7"/>
        <v>563600.00000000035</v>
      </c>
      <c r="K52" s="101">
        <f t="shared" si="18"/>
        <v>534269.69886083144</v>
      </c>
      <c r="L52" s="101">
        <f t="shared" si="19"/>
        <v>534.26969886083145</v>
      </c>
      <c r="M52" s="101"/>
      <c r="N52" s="101">
        <f t="shared" si="26"/>
        <v>8.4368352020256907</v>
      </c>
      <c r="O52" s="101">
        <f>(N51+N52+N50+N49+N48+N47+N46+N45+N44)</f>
        <v>122.62571142487349</v>
      </c>
      <c r="P52" s="101"/>
      <c r="Q52" s="101">
        <f t="shared" si="21"/>
        <v>525.83286365880576</v>
      </c>
      <c r="R52" s="101"/>
      <c r="S52" s="89">
        <v>61.4</v>
      </c>
      <c r="T52" s="89">
        <f t="shared" si="22"/>
        <v>3745.3999999996649</v>
      </c>
      <c r="U52" s="89">
        <f t="shared" si="12"/>
        <v>158367.90000000005</v>
      </c>
      <c r="V52" s="101">
        <f t="shared" si="23"/>
        <v>150126.27793155119</v>
      </c>
      <c r="W52" s="101">
        <f t="shared" si="20"/>
        <v>150.12627793155119</v>
      </c>
      <c r="X52" s="101">
        <f t="shared" si="8"/>
        <v>148.62295713322163</v>
      </c>
      <c r="Y52" s="101">
        <f t="shared" si="27"/>
        <v>4.5232142351519826</v>
      </c>
      <c r="Z52" s="101">
        <f>SUM(Y43:Y51,Y52)</f>
        <v>32.137280453978889</v>
      </c>
      <c r="AA52" s="101">
        <f t="shared" si="25"/>
        <v>4.0487885618683492</v>
      </c>
      <c r="AB52" s="101"/>
      <c r="AC52" s="101">
        <f t="shared" si="10"/>
        <v>2.0243942809341746</v>
      </c>
      <c r="AD52" s="101">
        <f t="shared" si="24"/>
        <v>148.62295713322163</v>
      </c>
      <c r="AE52" s="101">
        <f t="shared" si="11"/>
        <v>74.311478566610816</v>
      </c>
    </row>
    <row r="53" spans="1:31" x14ac:dyDescent="0.25">
      <c r="A53" s="94">
        <v>44433</v>
      </c>
      <c r="B53" s="89">
        <v>117</v>
      </c>
      <c r="C53" s="89">
        <v>22</v>
      </c>
      <c r="D53" s="89">
        <v>773.2</v>
      </c>
      <c r="E53" s="89">
        <v>4619.8999999999996</v>
      </c>
      <c r="F53" s="89">
        <v>4626.3999999999996</v>
      </c>
      <c r="G53" s="89">
        <f t="shared" si="5"/>
        <v>6.5</v>
      </c>
      <c r="H53" s="89">
        <f t="shared" si="6"/>
        <v>3.25</v>
      </c>
      <c r="I53" s="89">
        <f t="shared" si="17"/>
        <v>576.60000000000036</v>
      </c>
      <c r="J53" s="89">
        <f t="shared" si="7"/>
        <v>576600.00000000035</v>
      </c>
      <c r="K53" s="101">
        <f t="shared" si="18"/>
        <v>542889.33293508249</v>
      </c>
      <c r="L53" s="101">
        <f t="shared" si="19"/>
        <v>542.88933293508251</v>
      </c>
      <c r="M53" s="101"/>
      <c r="N53" s="101">
        <f t="shared" si="26"/>
        <v>6.6849016022189289</v>
      </c>
      <c r="O53" s="101">
        <f>(N52+N53+N51+N50+N49+N48+N47+N46+N45+N44)</f>
        <v>129.31061302709242</v>
      </c>
      <c r="P53" s="101"/>
      <c r="Q53" s="101">
        <f t="shared" si="21"/>
        <v>536.20443133286358</v>
      </c>
      <c r="R53" s="101"/>
      <c r="S53" s="89">
        <v>62.3</v>
      </c>
      <c r="T53" s="89">
        <f t="shared" si="22"/>
        <v>4049.5</v>
      </c>
      <c r="U53" s="89">
        <f t="shared" si="12"/>
        <v>162417.40000000005</v>
      </c>
      <c r="V53" s="101">
        <f t="shared" si="23"/>
        <v>152921.73767438511</v>
      </c>
      <c r="W53" s="101">
        <f t="shared" si="20"/>
        <v>152.9217376743851</v>
      </c>
      <c r="X53" s="101">
        <f t="shared" si="8"/>
        <v>152.00731845803637</v>
      </c>
      <c r="Y53" s="101">
        <f t="shared" si="27"/>
        <v>3.3843613248147335</v>
      </c>
      <c r="Z53" s="101">
        <f>SUM(Y43:Y52,Y53)</f>
        <v>35.521641778793622</v>
      </c>
      <c r="AA53" s="101">
        <f t="shared" si="25"/>
        <v>2.7954597428339127</v>
      </c>
      <c r="AB53" s="101"/>
      <c r="AC53" s="101">
        <f t="shared" si="10"/>
        <v>1.3977298714169564</v>
      </c>
      <c r="AD53" s="101">
        <f t="shared" si="24"/>
        <v>152.00731845803637</v>
      </c>
      <c r="AE53" s="101">
        <f t="shared" si="11"/>
        <v>76.003659229018183</v>
      </c>
    </row>
    <row r="54" spans="1:31" x14ac:dyDescent="0.25">
      <c r="A54" s="94">
        <v>44435</v>
      </c>
      <c r="B54" s="89">
        <v>119</v>
      </c>
      <c r="C54" s="89">
        <v>19</v>
      </c>
      <c r="D54" s="89">
        <v>773.2</v>
      </c>
      <c r="E54" s="89">
        <v>4626.3999999999996</v>
      </c>
      <c r="F54" s="89">
        <v>4632.3999999999996</v>
      </c>
      <c r="G54" s="89">
        <f t="shared" si="5"/>
        <v>6</v>
      </c>
      <c r="H54" s="89">
        <f t="shared" si="6"/>
        <v>3</v>
      </c>
      <c r="I54" s="89">
        <f t="shared" si="17"/>
        <v>588.60000000000036</v>
      </c>
      <c r="J54" s="89">
        <f t="shared" si="7"/>
        <v>588600.00000000035</v>
      </c>
      <c r="K54" s="101">
        <f t="shared" si="18"/>
        <v>559878.54467333865</v>
      </c>
      <c r="L54" s="101">
        <f t="shared" si="19"/>
        <v>559.87854467333864</v>
      </c>
      <c r="M54" s="101"/>
      <c r="N54" s="101">
        <f t="shared" si="26"/>
        <v>5.9925838114888847</v>
      </c>
      <c r="O54" s="101">
        <f>SUM(N44:N54)</f>
        <v>135.3031968385813</v>
      </c>
      <c r="P54" s="101">
        <v>0</v>
      </c>
      <c r="Q54" s="101">
        <f t="shared" si="21"/>
        <v>553.88596086184975</v>
      </c>
      <c r="R54" s="101"/>
      <c r="S54" s="89">
        <v>53.5</v>
      </c>
      <c r="T54" s="89">
        <f t="shared" si="22"/>
        <v>3210</v>
      </c>
      <c r="U54" s="89">
        <f t="shared" si="12"/>
        <v>165627.40000000005</v>
      </c>
      <c r="V54" s="101">
        <f t="shared" si="23"/>
        <v>157545.40888554012</v>
      </c>
      <c r="W54" s="101">
        <f t="shared" si="20"/>
        <v>157.54540888554013</v>
      </c>
      <c r="X54" s="101">
        <f t="shared" si="8"/>
        <v>157.16473713294346</v>
      </c>
      <c r="Y54" s="101">
        <f t="shared" si="27"/>
        <v>5.1574186749070918</v>
      </c>
      <c r="Z54" s="101">
        <f>SUM(Y43:Y53,Y54)</f>
        <v>40.679060453700714</v>
      </c>
      <c r="AA54" s="101">
        <f t="shared" si="25"/>
        <v>4.6236712111550275</v>
      </c>
      <c r="AB54" s="101"/>
      <c r="AC54" s="101">
        <f t="shared" si="10"/>
        <v>2.3118356055775138</v>
      </c>
      <c r="AD54" s="101">
        <f t="shared" si="24"/>
        <v>157.16473713294346</v>
      </c>
      <c r="AE54" s="101">
        <f t="shared" si="11"/>
        <v>78.582368566471729</v>
      </c>
    </row>
    <row r="55" spans="1:31" x14ac:dyDescent="0.25">
      <c r="A55" s="94">
        <v>44438</v>
      </c>
      <c r="B55" s="89">
        <v>122</v>
      </c>
      <c r="C55" s="89">
        <v>16</v>
      </c>
      <c r="D55" s="89">
        <v>773.2</v>
      </c>
      <c r="E55" s="89">
        <v>4632.3999999999996</v>
      </c>
      <c r="F55" s="89">
        <v>4638.3999999999996</v>
      </c>
      <c r="G55" s="89">
        <f t="shared" si="5"/>
        <v>6</v>
      </c>
      <c r="H55" s="89">
        <f t="shared" si="6"/>
        <v>3</v>
      </c>
      <c r="I55" s="89">
        <f t="shared" si="17"/>
        <v>600.60000000000036</v>
      </c>
      <c r="J55" s="89">
        <f t="shared" si="7"/>
        <v>600600.00000000035</v>
      </c>
      <c r="K55" s="101">
        <f t="shared" si="18"/>
        <v>577220.29063407308</v>
      </c>
      <c r="L55" s="101">
        <f t="shared" si="19"/>
        <v>577.22029063407308</v>
      </c>
      <c r="M55" s="101"/>
      <c r="N55" s="101">
        <f t="shared" si="26"/>
        <v>5.8625437443693045</v>
      </c>
      <c r="O55" s="101">
        <f>SUM(N44:N55)</f>
        <v>141.1657405829506</v>
      </c>
      <c r="P55" s="101">
        <f>SUM(N55)</f>
        <v>5.8625437443693045</v>
      </c>
      <c r="Q55" s="101">
        <f t="shared" si="21"/>
        <v>571.35774688970378</v>
      </c>
      <c r="R55" s="101"/>
      <c r="S55" s="89">
        <v>52.3</v>
      </c>
      <c r="T55" s="89">
        <f t="shared" si="22"/>
        <v>3137.9999999999995</v>
      </c>
      <c r="U55" s="89">
        <f t="shared" si="12"/>
        <v>168765.40000000005</v>
      </c>
      <c r="V55" s="101">
        <f t="shared" si="23"/>
        <v>162195.82623539053</v>
      </c>
      <c r="W55" s="101">
        <f t="shared" si="20"/>
        <v>162.19582623539054</v>
      </c>
      <c r="X55" s="101">
        <f t="shared" si="8"/>
        <v>162.16536022937453</v>
      </c>
      <c r="Y55" s="101">
        <f t="shared" si="27"/>
        <v>5.0006230964310703</v>
      </c>
      <c r="Z55" s="101">
        <f>SUM(Y43:Y54,Y55)</f>
        <v>45.679683550131784</v>
      </c>
      <c r="AA55" s="101">
        <f t="shared" si="25"/>
        <v>4.6504173498504144</v>
      </c>
      <c r="AB55" s="101"/>
      <c r="AC55" s="101">
        <f t="shared" si="10"/>
        <v>2.3252086749252072</v>
      </c>
      <c r="AD55" s="101">
        <f t="shared" si="24"/>
        <v>162.16536022937453</v>
      </c>
      <c r="AE55" s="101">
        <f t="shared" si="11"/>
        <v>81.082680114687264</v>
      </c>
    </row>
    <row r="56" spans="1:31" x14ac:dyDescent="0.25">
      <c r="A56" s="94">
        <v>44440</v>
      </c>
      <c r="B56" s="89">
        <v>124</v>
      </c>
      <c r="C56" s="89">
        <v>16</v>
      </c>
      <c r="D56" s="89">
        <v>773.2</v>
      </c>
      <c r="E56" s="89">
        <v>4638.3999999999996</v>
      </c>
      <c r="F56" s="89">
        <v>4644.2</v>
      </c>
      <c r="G56" s="89">
        <f t="shared" si="5"/>
        <v>5.8000000000001819</v>
      </c>
      <c r="H56" s="89">
        <f t="shared" si="6"/>
        <v>2.9000000000000909</v>
      </c>
      <c r="I56" s="89">
        <f t="shared" si="17"/>
        <v>612.20000000000073</v>
      </c>
      <c r="J56" s="89">
        <f t="shared" si="7"/>
        <v>612200.0000000007</v>
      </c>
      <c r="K56" s="101">
        <f t="shared" si="18"/>
        <v>588368.73447582382</v>
      </c>
      <c r="L56" s="101">
        <f t="shared" si="19"/>
        <v>588.36873447582377</v>
      </c>
      <c r="M56" s="101"/>
      <c r="N56" s="101">
        <f>(L56-L55)</f>
        <v>11.148443841750691</v>
      </c>
      <c r="O56" s="101">
        <f>SUM(N44:N56)</f>
        <v>152.3141844247013</v>
      </c>
      <c r="P56" s="101">
        <f>SUM(N54:N55)</f>
        <v>11.855127555858189</v>
      </c>
      <c r="Q56" s="101">
        <f t="shared" si="21"/>
        <v>583.27504892743696</v>
      </c>
      <c r="R56" s="101"/>
      <c r="S56" s="89">
        <v>58.3</v>
      </c>
      <c r="T56" s="89">
        <f t="shared" si="22"/>
        <v>3381.400000000106</v>
      </c>
      <c r="U56" s="89">
        <f t="shared" si="12"/>
        <v>172146.80000000016</v>
      </c>
      <c r="V56" s="101">
        <f t="shared" si="23"/>
        <v>165445.59761526089</v>
      </c>
      <c r="W56" s="101">
        <f t="shared" si="20"/>
        <v>165.44559761526088</v>
      </c>
      <c r="X56" s="101">
        <f>AVERAGE(W56,W132)</f>
        <v>165.77880153594464</v>
      </c>
      <c r="Y56" s="101">
        <f t="shared" si="27"/>
        <v>3.6134413065701096</v>
      </c>
      <c r="Z56" s="101">
        <f>SUM(Y43:Y55,Y56)</f>
        <v>49.293124856701894</v>
      </c>
      <c r="AA56" s="101">
        <f t="shared" si="25"/>
        <v>3.2497713798703387</v>
      </c>
      <c r="AB56" s="101">
        <f>AVERAGE(AA56:AA70)</f>
        <v>2.3497354212236794</v>
      </c>
      <c r="AC56" s="101">
        <f t="shared" si="10"/>
        <v>1.6248856899351694</v>
      </c>
      <c r="AD56" s="101">
        <f t="shared" si="24"/>
        <v>165.77880153594464</v>
      </c>
      <c r="AE56" s="101">
        <f t="shared" si="11"/>
        <v>82.889400767972319</v>
      </c>
    </row>
    <row r="57" spans="1:31" x14ac:dyDescent="0.25">
      <c r="A57" s="94">
        <v>44442</v>
      </c>
      <c r="B57" s="89">
        <v>126</v>
      </c>
      <c r="C57" s="89">
        <v>19</v>
      </c>
      <c r="D57" s="89">
        <v>773.2</v>
      </c>
      <c r="E57" s="89">
        <v>4644.2</v>
      </c>
      <c r="F57" s="89">
        <v>4650.2</v>
      </c>
      <c r="G57" s="89">
        <f t="shared" si="5"/>
        <v>6</v>
      </c>
      <c r="H57" s="89">
        <f t="shared" si="6"/>
        <v>3</v>
      </c>
      <c r="I57" s="89">
        <f>(I56+G57)+(F57-E57)</f>
        <v>624.20000000000073</v>
      </c>
      <c r="J57" s="89">
        <f t="shared" si="7"/>
        <v>624200.0000000007</v>
      </c>
      <c r="K57" s="101">
        <f t="shared" si="18"/>
        <v>593741.39922714618</v>
      </c>
      <c r="L57" s="101">
        <f t="shared" si="19"/>
        <v>593.74139922714619</v>
      </c>
      <c r="M57" s="101"/>
      <c r="N57" s="101">
        <f>(L57-L56)</f>
        <v>5.3726647513224179</v>
      </c>
      <c r="O57" s="101">
        <f>SUM(N44:N57)</f>
        <v>157.68684917602371</v>
      </c>
      <c r="P57" s="101">
        <f>SUM(N56:N57)</f>
        <v>16.521108593073109</v>
      </c>
      <c r="Q57" s="101">
        <f t="shared" si="21"/>
        <v>588.22441730545756</v>
      </c>
      <c r="R57" s="101"/>
      <c r="S57" s="89">
        <v>55.8</v>
      </c>
      <c r="T57" s="89">
        <f t="shared" si="22"/>
        <v>3347.9999999999995</v>
      </c>
      <c r="U57" s="89">
        <f t="shared" si="12"/>
        <v>175494.80000000016</v>
      </c>
      <c r="V57" s="101">
        <f t="shared" si="23"/>
        <v>166931.31706037832</v>
      </c>
      <c r="W57" s="101">
        <f t="shared" si="20"/>
        <v>166.93131706037832</v>
      </c>
      <c r="X57" s="101">
        <f t="shared" si="8"/>
        <v>167.28535510714568</v>
      </c>
      <c r="Y57" s="101">
        <f t="shared" si="27"/>
        <v>1.5065535712010387</v>
      </c>
      <c r="Z57" s="101">
        <v>0</v>
      </c>
      <c r="AA57" s="101">
        <f t="shared" si="25"/>
        <v>1.4857194451174394</v>
      </c>
      <c r="AB57" s="101"/>
      <c r="AC57" s="101">
        <f t="shared" si="10"/>
        <v>0.74285972255871968</v>
      </c>
      <c r="AD57" s="101">
        <f t="shared" si="24"/>
        <v>167.28535510714568</v>
      </c>
      <c r="AE57" s="101">
        <f t="shared" si="11"/>
        <v>83.642677553572838</v>
      </c>
    </row>
    <row r="58" spans="1:31" x14ac:dyDescent="0.25">
      <c r="A58" s="94">
        <v>44445</v>
      </c>
      <c r="B58" s="89">
        <v>129</v>
      </c>
      <c r="C58" s="89">
        <v>19</v>
      </c>
      <c r="D58" s="89">
        <v>773.2</v>
      </c>
      <c r="E58" s="89">
        <v>4650.2</v>
      </c>
      <c r="F58" s="89">
        <v>4653.3</v>
      </c>
      <c r="G58" s="89">
        <f t="shared" si="5"/>
        <v>3.1000000000003638</v>
      </c>
      <c r="H58" s="89">
        <f t="shared" si="6"/>
        <v>1.5500000000001819</v>
      </c>
      <c r="I58" s="89">
        <f t="shared" ref="I58:I70" si="28">(I57+G58)+(F58-E58)</f>
        <v>630.40000000000146</v>
      </c>
      <c r="J58" s="89">
        <f t="shared" si="7"/>
        <v>630400.0000000014</v>
      </c>
      <c r="K58" s="101">
        <f t="shared" si="18"/>
        <v>599638.86266067496</v>
      </c>
      <c r="L58" s="101">
        <f t="shared" si="19"/>
        <v>599.63886266067493</v>
      </c>
      <c r="M58" s="101"/>
      <c r="N58" s="101">
        <f t="shared" ref="N58:N71" si="29">(L58-L57)</f>
        <v>5.8974634335287419</v>
      </c>
      <c r="O58" s="101"/>
      <c r="P58" s="101">
        <f>SUM(N55:N58)</f>
        <v>28.281115770971155</v>
      </c>
      <c r="Q58" s="101">
        <f t="shared" si="21"/>
        <v>597.07061245575028</v>
      </c>
      <c r="R58" s="101"/>
      <c r="S58" s="89">
        <v>56.2</v>
      </c>
      <c r="T58" s="89">
        <f t="shared" si="22"/>
        <v>1742.2000000002047</v>
      </c>
      <c r="U58" s="89">
        <f t="shared" si="12"/>
        <v>177237.00000000038</v>
      </c>
      <c r="V58" s="101">
        <f t="shared" si="23"/>
        <v>168588.50428519995</v>
      </c>
      <c r="W58" s="101">
        <f t="shared" si="20"/>
        <v>168.58850428519995</v>
      </c>
      <c r="X58" s="101">
        <f t="shared" si="8"/>
        <v>169.85370043244728</v>
      </c>
      <c r="Y58" s="101">
        <f t="shared" si="27"/>
        <v>2.5683453253016069</v>
      </c>
      <c r="Z58" s="101">
        <f>SUM(Y57,Y58)</f>
        <v>4.0748988965026456</v>
      </c>
      <c r="AA58" s="101">
        <f t="shared" si="25"/>
        <v>1.6571872248216266</v>
      </c>
      <c r="AB58" s="101"/>
      <c r="AC58" s="101">
        <f t="shared" si="10"/>
        <v>0.82859361241081331</v>
      </c>
      <c r="AD58" s="101">
        <f t="shared" si="24"/>
        <v>169.85370043244728</v>
      </c>
      <c r="AE58" s="101">
        <f t="shared" si="11"/>
        <v>84.926850216223642</v>
      </c>
    </row>
    <row r="59" spans="1:31" x14ac:dyDescent="0.25">
      <c r="A59" s="94">
        <v>44447</v>
      </c>
      <c r="B59" s="89">
        <v>131</v>
      </c>
      <c r="C59" s="89">
        <v>19</v>
      </c>
      <c r="D59" s="89">
        <v>773.2</v>
      </c>
      <c r="E59" s="89">
        <v>4653.3</v>
      </c>
      <c r="F59" s="89">
        <v>4661.7</v>
      </c>
      <c r="G59" s="89">
        <f t="shared" si="5"/>
        <v>8.3999999999996362</v>
      </c>
      <c r="H59" s="89">
        <f t="shared" si="6"/>
        <v>4.1999999999998181</v>
      </c>
      <c r="I59" s="89">
        <f t="shared" si="28"/>
        <v>647.20000000000073</v>
      </c>
      <c r="J59" s="89">
        <f t="shared" si="7"/>
        <v>647200.0000000007</v>
      </c>
      <c r="K59" s="101">
        <f t="shared" si="18"/>
        <v>615619.08615797653</v>
      </c>
      <c r="L59" s="101">
        <f t="shared" si="19"/>
        <v>615.61908615797654</v>
      </c>
      <c r="M59" s="101"/>
      <c r="N59" s="101">
        <f t="shared" si="29"/>
        <v>15.980223497301608</v>
      </c>
      <c r="O59" s="101"/>
      <c r="P59" s="101">
        <f>SUM(N56:N59)</f>
        <v>38.398795523903459</v>
      </c>
      <c r="Q59" s="101">
        <f t="shared" si="21"/>
        <v>612.86275296794349</v>
      </c>
      <c r="R59" s="101"/>
      <c r="S59" s="89">
        <v>54.2</v>
      </c>
      <c r="T59" s="89">
        <f t="shared" si="22"/>
        <v>4552.7999999998028</v>
      </c>
      <c r="U59" s="89">
        <f t="shared" si="12"/>
        <v>181789.80000000019</v>
      </c>
      <c r="V59" s="101">
        <f t="shared" si="23"/>
        <v>172919.14485296866</v>
      </c>
      <c r="W59" s="101">
        <f t="shared" si="20"/>
        <v>172.91914485296866</v>
      </c>
      <c r="X59" s="101">
        <f>AVERAGE(W59,W135)</f>
        <v>174.34992395997699</v>
      </c>
      <c r="Y59" s="101">
        <f t="shared" si="27"/>
        <v>4.4962235275297076</v>
      </c>
      <c r="Z59" s="101">
        <f>SUM(Y57:Y58,Y59)</f>
        <v>8.5711224240323531</v>
      </c>
      <c r="AA59" s="101">
        <f t="shared" si="25"/>
        <v>4.330640567768711</v>
      </c>
      <c r="AB59" s="101"/>
      <c r="AC59" s="101">
        <f t="shared" si="10"/>
        <v>2.1653202838843555</v>
      </c>
      <c r="AD59" s="101">
        <f t="shared" si="24"/>
        <v>174.34992395997699</v>
      </c>
      <c r="AE59" s="101">
        <f t="shared" si="11"/>
        <v>87.174961979988495</v>
      </c>
    </row>
    <row r="60" spans="1:31" x14ac:dyDescent="0.25">
      <c r="A60" s="94">
        <v>44449</v>
      </c>
      <c r="B60" s="89">
        <v>133</v>
      </c>
      <c r="C60" s="89">
        <v>19</v>
      </c>
      <c r="D60" s="89">
        <v>773.2</v>
      </c>
      <c r="E60" s="89">
        <v>4661.7</v>
      </c>
      <c r="F60" s="89">
        <v>4670.5</v>
      </c>
      <c r="G60" s="89">
        <f t="shared" si="5"/>
        <v>8.8000000000001819</v>
      </c>
      <c r="H60" s="89">
        <f t="shared" si="6"/>
        <v>4.4000000000000909</v>
      </c>
      <c r="I60" s="89">
        <f t="shared" si="28"/>
        <v>664.80000000000109</v>
      </c>
      <c r="J60" s="89">
        <f t="shared" si="7"/>
        <v>664800.00000000105</v>
      </c>
      <c r="K60" s="101">
        <f t="shared" si="18"/>
        <v>632360.27267896023</v>
      </c>
      <c r="L60" s="101">
        <f t="shared" si="19"/>
        <v>632.3602726789602</v>
      </c>
      <c r="M60" s="101"/>
      <c r="N60" s="101">
        <f>(L60-L59)</f>
        <v>16.741186520983661</v>
      </c>
      <c r="O60" s="101"/>
      <c r="P60" s="101">
        <f>SUM(N57:N60)</f>
        <v>43.991538203136429</v>
      </c>
      <c r="Q60" s="101">
        <f t="shared" si="21"/>
        <v>630.26762436383638</v>
      </c>
      <c r="R60" s="101"/>
      <c r="S60" s="89">
        <v>53.3</v>
      </c>
      <c r="T60" s="89">
        <f t="shared" si="22"/>
        <v>4690.400000000097</v>
      </c>
      <c r="U60" s="89">
        <f t="shared" si="12"/>
        <v>186480.2000000003</v>
      </c>
      <c r="V60" s="101">
        <f t="shared" si="23"/>
        <v>177380.67106081083</v>
      </c>
      <c r="W60" s="101">
        <f t="shared" si="20"/>
        <v>177.38067106081081</v>
      </c>
      <c r="X60" s="101">
        <f t="shared" si="8"/>
        <v>179.18667411695054</v>
      </c>
      <c r="Y60" s="101">
        <f t="shared" si="27"/>
        <v>4.8367501569735509</v>
      </c>
      <c r="Z60" s="101">
        <f>SUM(Y58:Y59,Y60)</f>
        <v>11.901319009804865</v>
      </c>
      <c r="AA60" s="101">
        <f t="shared" si="25"/>
        <v>4.4615262078421551</v>
      </c>
      <c r="AB60" s="101"/>
      <c r="AC60" s="101">
        <f t="shared" si="10"/>
        <v>2.2307631039210776</v>
      </c>
      <c r="AD60" s="101">
        <f t="shared" si="24"/>
        <v>179.18667411695054</v>
      </c>
      <c r="AE60" s="101">
        <f t="shared" si="11"/>
        <v>89.593337058475271</v>
      </c>
    </row>
    <row r="61" spans="1:31" x14ac:dyDescent="0.25">
      <c r="A61" s="94">
        <v>44452</v>
      </c>
      <c r="B61" s="89">
        <v>136</v>
      </c>
      <c r="C61" s="89">
        <v>21</v>
      </c>
      <c r="D61" s="89">
        <v>773.2</v>
      </c>
      <c r="E61" s="89">
        <v>4670.5</v>
      </c>
      <c r="F61" s="89">
        <v>4678.7</v>
      </c>
      <c r="G61" s="89">
        <f t="shared" si="5"/>
        <v>8.1999999999998181</v>
      </c>
      <c r="H61" s="89">
        <f t="shared" si="6"/>
        <v>4.0999999999999091</v>
      </c>
      <c r="I61" s="89">
        <f t="shared" si="28"/>
        <v>681.20000000000073</v>
      </c>
      <c r="J61" s="89">
        <f t="shared" si="7"/>
        <v>681200.0000000007</v>
      </c>
      <c r="K61" s="101">
        <f t="shared" si="18"/>
        <v>643554.37118548609</v>
      </c>
      <c r="L61" s="101">
        <f t="shared" si="19"/>
        <v>643.55437118548605</v>
      </c>
      <c r="M61" s="101"/>
      <c r="N61" s="101">
        <f t="shared" si="29"/>
        <v>11.194098506525847</v>
      </c>
      <c r="O61" s="101"/>
      <c r="P61" s="101">
        <f>SUM(N58:N61)</f>
        <v>49.812971958339858</v>
      </c>
      <c r="Q61" s="101">
        <f t="shared" si="21"/>
        <v>641.47595131377648</v>
      </c>
      <c r="R61" s="101"/>
      <c r="S61" s="89">
        <v>52.5</v>
      </c>
      <c r="T61" s="89">
        <f t="shared" si="22"/>
        <v>4304.9999999999045</v>
      </c>
      <c r="U61" s="89">
        <f t="shared" si="12"/>
        <v>190785.20000000022</v>
      </c>
      <c r="V61" s="101">
        <f t="shared" si="23"/>
        <v>180241.70495815796</v>
      </c>
      <c r="W61" s="101">
        <f t="shared" si="20"/>
        <v>180.24170495815795</v>
      </c>
      <c r="X61" s="101">
        <f t="shared" si="8"/>
        <v>182.21747923029329</v>
      </c>
      <c r="Y61" s="101">
        <f t="shared" si="27"/>
        <v>3.0308051133427512</v>
      </c>
      <c r="Z61" s="101">
        <f>SUM(Y58:Y60,Y61)</f>
        <v>14.932124123147617</v>
      </c>
      <c r="AA61" s="101">
        <f t="shared" si="25"/>
        <v>2.8610338973471414</v>
      </c>
      <c r="AB61" s="101"/>
      <c r="AC61" s="101">
        <f t="shared" si="10"/>
        <v>1.4305169486735707</v>
      </c>
      <c r="AD61" s="101">
        <f t="shared" si="24"/>
        <v>182.21747923029329</v>
      </c>
      <c r="AE61" s="101">
        <f t="shared" si="11"/>
        <v>91.108739615146646</v>
      </c>
    </row>
    <row r="62" spans="1:31" x14ac:dyDescent="0.25">
      <c r="A62" s="94">
        <v>44454</v>
      </c>
      <c r="B62" s="89">
        <v>138</v>
      </c>
      <c r="C62" s="89">
        <v>20</v>
      </c>
      <c r="D62" s="89">
        <v>773.2</v>
      </c>
      <c r="E62" s="89">
        <v>4678.7</v>
      </c>
      <c r="F62" s="89">
        <v>4686.6000000000004</v>
      </c>
      <c r="G62" s="89">
        <f t="shared" si="5"/>
        <v>7.9000000000005457</v>
      </c>
      <c r="H62" s="89">
        <f t="shared" si="6"/>
        <v>3.9500000000002728</v>
      </c>
      <c r="I62" s="89">
        <f t="shared" si="28"/>
        <v>697.00000000000182</v>
      </c>
      <c r="J62" s="89">
        <f t="shared" si="7"/>
        <v>697000.00000000186</v>
      </c>
      <c r="K62" s="101">
        <f t="shared" si="18"/>
        <v>660727.4309900644</v>
      </c>
      <c r="L62" s="101">
        <f t="shared" si="19"/>
        <v>660.72743099006436</v>
      </c>
      <c r="M62" s="101"/>
      <c r="N62" s="101">
        <f t="shared" si="29"/>
        <v>17.173059804578315</v>
      </c>
      <c r="O62" s="101"/>
      <c r="P62" s="101">
        <f>SUM(N57:N62)</f>
        <v>72.358696514240592</v>
      </c>
      <c r="Q62" s="101">
        <f t="shared" si="21"/>
        <v>658.73671706598975</v>
      </c>
      <c r="R62" s="101"/>
      <c r="S62" s="89">
        <v>50.9</v>
      </c>
      <c r="T62" s="89">
        <f t="shared" si="22"/>
        <v>4021.1000000002778</v>
      </c>
      <c r="U62" s="89">
        <f t="shared" si="12"/>
        <v>194806.30000000048</v>
      </c>
      <c r="V62" s="101">
        <f t="shared" si="23"/>
        <v>184668.38757486336</v>
      </c>
      <c r="W62" s="101">
        <f t="shared" si="20"/>
        <v>184.66838757486335</v>
      </c>
      <c r="X62" s="101">
        <f t="shared" si="8"/>
        <v>186.79636596379623</v>
      </c>
      <c r="Y62" s="101">
        <f t="shared" si="27"/>
        <v>4.5788867335029408</v>
      </c>
      <c r="Z62" s="101">
        <f>SUM(Y57:Y61,Y62)</f>
        <v>21.017564427851596</v>
      </c>
      <c r="AA62" s="101">
        <f t="shared" si="25"/>
        <v>4.4266826167053921</v>
      </c>
      <c r="AB62" s="101"/>
      <c r="AC62" s="101">
        <f t="shared" si="10"/>
        <v>2.213341308352696</v>
      </c>
      <c r="AD62" s="101">
        <f t="shared" si="24"/>
        <v>186.79636596379623</v>
      </c>
      <c r="AE62" s="101">
        <f t="shared" si="11"/>
        <v>93.398182981898117</v>
      </c>
    </row>
    <row r="63" spans="1:31" x14ac:dyDescent="0.25">
      <c r="A63" s="94">
        <v>44456</v>
      </c>
      <c r="B63" s="89">
        <v>140</v>
      </c>
      <c r="C63" s="89">
        <v>19</v>
      </c>
      <c r="D63" s="89">
        <v>773.2</v>
      </c>
      <c r="E63" s="89">
        <v>4686.6000000000004</v>
      </c>
      <c r="F63" s="89">
        <v>4694.6000000000004</v>
      </c>
      <c r="G63" s="89">
        <f t="shared" si="5"/>
        <v>8</v>
      </c>
      <c r="H63" s="89">
        <f t="shared" si="6"/>
        <v>4</v>
      </c>
      <c r="I63" s="89">
        <f t="shared" si="28"/>
        <v>713.00000000000182</v>
      </c>
      <c r="J63" s="89">
        <f t="shared" si="7"/>
        <v>713000.00000000186</v>
      </c>
      <c r="K63" s="101">
        <f t="shared" si="18"/>
        <v>678208.29485574469</v>
      </c>
      <c r="L63" s="101">
        <f t="shared" si="19"/>
        <v>678.20829485574473</v>
      </c>
      <c r="M63" s="101"/>
      <c r="N63" s="101">
        <f t="shared" si="29"/>
        <v>17.480863865680362</v>
      </c>
      <c r="O63" s="101"/>
      <c r="P63" s="101">
        <f>SUM(N58:N63)</f>
        <v>84.466895628598536</v>
      </c>
      <c r="Q63" s="101">
        <f t="shared" si="21"/>
        <v>676.2107669185807</v>
      </c>
      <c r="R63" s="101"/>
      <c r="S63" s="89">
        <v>51.9</v>
      </c>
      <c r="T63" s="89">
        <f t="shared" si="22"/>
        <v>4152</v>
      </c>
      <c r="U63" s="89">
        <f t="shared" si="12"/>
        <v>198958.30000000048</v>
      </c>
      <c r="V63" s="101">
        <f t="shared" si="23"/>
        <v>189249.88694305427</v>
      </c>
      <c r="W63" s="101">
        <f t="shared" si="20"/>
        <v>189.24988694305426</v>
      </c>
      <c r="X63" s="101">
        <f t="shared" si="8"/>
        <v>191.5944140190152</v>
      </c>
      <c r="Y63" s="101">
        <f>(X63-X62)</f>
        <v>4.7980480552189704</v>
      </c>
      <c r="Z63" s="101">
        <f>SUM(Y57:Y62,Y63)</f>
        <v>25.815612483070566</v>
      </c>
      <c r="AA63" s="101">
        <f t="shared" si="25"/>
        <v>4.5814993681909186</v>
      </c>
      <c r="AB63" s="101"/>
      <c r="AC63" s="101">
        <f t="shared" si="10"/>
        <v>2.2907496840954593</v>
      </c>
      <c r="AD63" s="101">
        <f t="shared" si="24"/>
        <v>191.5944140190152</v>
      </c>
      <c r="AE63" s="101">
        <f t="shared" si="11"/>
        <v>95.797207009507602</v>
      </c>
    </row>
    <row r="64" spans="1:31" x14ac:dyDescent="0.25">
      <c r="A64" s="94">
        <v>44459</v>
      </c>
      <c r="B64" s="89">
        <v>143</v>
      </c>
      <c r="C64" s="89">
        <v>22</v>
      </c>
      <c r="D64" s="89">
        <v>773.2</v>
      </c>
      <c r="E64" s="89">
        <v>4694.6000000000004</v>
      </c>
      <c r="F64" s="89">
        <v>4701.1000000000004</v>
      </c>
      <c r="G64" s="89">
        <f t="shared" si="5"/>
        <v>6.5</v>
      </c>
      <c r="H64" s="89">
        <f t="shared" si="6"/>
        <v>3.25</v>
      </c>
      <c r="I64" s="89">
        <f t="shared" si="28"/>
        <v>726.00000000000182</v>
      </c>
      <c r="J64" s="89">
        <f t="shared" si="7"/>
        <v>726000.00000000186</v>
      </c>
      <c r="K64" s="101">
        <f t="shared" si="18"/>
        <v>683554.72721274814</v>
      </c>
      <c r="L64" s="101">
        <f t="shared" si="19"/>
        <v>683.55472721274816</v>
      </c>
      <c r="M64" s="101"/>
      <c r="N64" s="101">
        <f t="shared" si="29"/>
        <v>5.3464323570034367</v>
      </c>
      <c r="O64" s="101"/>
      <c r="P64" s="101">
        <f>SUM(N58:N64)</f>
        <v>89.813327985601973</v>
      </c>
      <c r="Q64" s="101">
        <f t="shared" si="21"/>
        <v>681.7658098825757</v>
      </c>
      <c r="R64" s="101"/>
      <c r="S64" s="89">
        <v>53</v>
      </c>
      <c r="T64" s="89">
        <f t="shared" si="22"/>
        <v>3445</v>
      </c>
      <c r="U64" s="89">
        <f t="shared" si="12"/>
        <v>202403.30000000048</v>
      </c>
      <c r="V64" s="101">
        <f t="shared" si="23"/>
        <v>190569.87950201106</v>
      </c>
      <c r="W64" s="101">
        <f t="shared" si="20"/>
        <v>190.56987950201105</v>
      </c>
      <c r="X64" s="101">
        <f t="shared" si="8"/>
        <v>193.14865091022409</v>
      </c>
      <c r="Y64" s="101">
        <f t="shared" ref="Y64:Y70" si="30">(X64-X63)</f>
        <v>1.5542368912088875</v>
      </c>
      <c r="Z64" s="101">
        <f>SUM(Y57:Y63,Y64)</f>
        <v>27.369849374279454</v>
      </c>
      <c r="AA64" s="101">
        <f t="shared" si="25"/>
        <v>1.319992558956784</v>
      </c>
      <c r="AB64" s="101"/>
      <c r="AC64" s="101">
        <f t="shared" si="10"/>
        <v>0.65999627947839201</v>
      </c>
      <c r="AD64" s="101">
        <f t="shared" si="24"/>
        <v>193.14865091022409</v>
      </c>
      <c r="AE64" s="101">
        <f t="shared" si="11"/>
        <v>96.574325455112046</v>
      </c>
    </row>
    <row r="65" spans="1:36" x14ac:dyDescent="0.25">
      <c r="A65" s="94">
        <v>44461</v>
      </c>
      <c r="B65" s="89">
        <v>145</v>
      </c>
      <c r="C65" s="89">
        <v>18</v>
      </c>
      <c r="D65" s="89">
        <v>773.2</v>
      </c>
      <c r="E65" s="89">
        <v>4701.1000000000004</v>
      </c>
      <c r="F65" s="89">
        <v>4707</v>
      </c>
      <c r="G65" s="89">
        <f t="shared" si="5"/>
        <v>5.8999999999996362</v>
      </c>
      <c r="H65" s="89">
        <f t="shared" si="6"/>
        <v>2.9499999999998181</v>
      </c>
      <c r="I65" s="89">
        <f t="shared" si="28"/>
        <v>737.80000000000109</v>
      </c>
      <c r="J65" s="89">
        <f t="shared" si="7"/>
        <v>737800.00000000105</v>
      </c>
      <c r="K65" s="101">
        <f t="shared" si="18"/>
        <v>704208.58358415461</v>
      </c>
      <c r="L65" s="101">
        <f t="shared" si="19"/>
        <v>704.20858358415455</v>
      </c>
      <c r="M65" s="101"/>
      <c r="N65" s="101">
        <f>(L65-L64)</f>
        <v>20.653856371406391</v>
      </c>
      <c r="O65" s="101"/>
      <c r="P65" s="101">
        <f>SUM(N59:N65)</f>
        <v>104.56972092347962</v>
      </c>
      <c r="Q65" s="101">
        <f t="shared" si="21"/>
        <v>702.49053607744236</v>
      </c>
      <c r="R65" s="101"/>
      <c r="S65" s="89">
        <v>50.2</v>
      </c>
      <c r="T65" s="89">
        <f t="shared" si="22"/>
        <v>2961.7999999998174</v>
      </c>
      <c r="U65" s="89">
        <f t="shared" si="12"/>
        <v>205365.1000000003</v>
      </c>
      <c r="V65" s="101">
        <f t="shared" si="23"/>
        <v>196014.99890026872</v>
      </c>
      <c r="W65" s="101">
        <f t="shared" si="20"/>
        <v>196.01499890026872</v>
      </c>
      <c r="X65" s="101">
        <f t="shared" si="8"/>
        <v>198.78487326942155</v>
      </c>
      <c r="Y65" s="101">
        <f t="shared" si="30"/>
        <v>5.6362223591974612</v>
      </c>
      <c r="Z65" s="101">
        <f t="shared" ref="Z65" si="31">SUM(Y59:Y64,Y65)</f>
        <v>28.93117283697427</v>
      </c>
      <c r="AA65" s="101">
        <f t="shared" si="25"/>
        <v>5.445119398257674</v>
      </c>
      <c r="AB65" s="101"/>
      <c r="AC65" s="101">
        <f t="shared" si="10"/>
        <v>2.722559699128837</v>
      </c>
      <c r="AD65" s="101">
        <f t="shared" si="24"/>
        <v>198.78487326942155</v>
      </c>
      <c r="AE65" s="101">
        <f t="shared" si="11"/>
        <v>99.392436634710776</v>
      </c>
    </row>
    <row r="66" spans="1:36" x14ac:dyDescent="0.25">
      <c r="A66" s="94">
        <v>44463</v>
      </c>
      <c r="B66" s="89">
        <v>147</v>
      </c>
      <c r="C66" s="89">
        <v>20</v>
      </c>
      <c r="D66" s="89">
        <v>773.2</v>
      </c>
      <c r="E66" s="89">
        <v>4707</v>
      </c>
      <c r="F66" s="89">
        <v>4711</v>
      </c>
      <c r="G66" s="89">
        <f t="shared" si="5"/>
        <v>4</v>
      </c>
      <c r="H66" s="89">
        <f t="shared" si="6"/>
        <v>2</v>
      </c>
      <c r="I66" s="89">
        <f t="shared" si="28"/>
        <v>745.80000000000109</v>
      </c>
      <c r="J66" s="89">
        <f t="shared" si="7"/>
        <v>745800.00000000105</v>
      </c>
      <c r="K66" s="101">
        <f t="shared" si="18"/>
        <v>706987.83074948261</v>
      </c>
      <c r="L66" s="101">
        <f t="shared" si="19"/>
        <v>706.98783074948267</v>
      </c>
      <c r="M66" s="101"/>
      <c r="N66" s="101">
        <f t="shared" si="29"/>
        <v>2.7792471653281154</v>
      </c>
      <c r="O66" s="101"/>
      <c r="P66" s="101">
        <f>SUM(N58:N66)</f>
        <v>113.24643152233648</v>
      </c>
      <c r="Q66" s="101">
        <f t="shared" si="21"/>
        <v>705.47109633114007</v>
      </c>
      <c r="R66" s="101"/>
      <c r="S66" s="89">
        <v>47.6</v>
      </c>
      <c r="T66" s="89">
        <f t="shared" si="22"/>
        <v>1904</v>
      </c>
      <c r="U66" s="89">
        <f t="shared" si="12"/>
        <v>207269.1000000003</v>
      </c>
      <c r="V66" s="101">
        <f t="shared" si="23"/>
        <v>196482.61114293055</v>
      </c>
      <c r="W66" s="101">
        <f t="shared" si="20"/>
        <v>196.48261114293055</v>
      </c>
      <c r="X66" s="101">
        <f t="shared" si="8"/>
        <v>199.38820030896699</v>
      </c>
      <c r="Y66" s="101">
        <f t="shared" si="30"/>
        <v>0.60332703954543376</v>
      </c>
      <c r="Z66" s="101">
        <f>SUM(Y57:Y65,Y66)</f>
        <v>33.609398773022349</v>
      </c>
      <c r="AA66" s="101">
        <f t="shared" si="25"/>
        <v>0.46761224266182921</v>
      </c>
      <c r="AB66" s="101"/>
      <c r="AC66" s="101">
        <f t="shared" si="10"/>
        <v>0.23380612133091461</v>
      </c>
      <c r="AD66" s="101">
        <f t="shared" si="24"/>
        <v>199.38820030896699</v>
      </c>
      <c r="AE66" s="101">
        <f t="shared" si="11"/>
        <v>99.694100154483493</v>
      </c>
    </row>
    <row r="67" spans="1:36" x14ac:dyDescent="0.25">
      <c r="A67" s="94">
        <v>44466</v>
      </c>
      <c r="B67" s="89">
        <v>150</v>
      </c>
      <c r="C67" s="89">
        <v>19</v>
      </c>
      <c r="D67" s="89">
        <v>773.2</v>
      </c>
      <c r="E67" s="89">
        <v>4711</v>
      </c>
      <c r="F67" s="89">
        <v>4713.2</v>
      </c>
      <c r="G67" s="89">
        <f t="shared" si="5"/>
        <v>2.1999999999998181</v>
      </c>
      <c r="H67" s="89">
        <f t="shared" si="6"/>
        <v>1.0999999999999091</v>
      </c>
      <c r="I67" s="89">
        <f t="shared" si="28"/>
        <v>750.20000000000073</v>
      </c>
      <c r="J67" s="89">
        <f t="shared" si="7"/>
        <v>750200.0000000007</v>
      </c>
      <c r="K67" s="101">
        <f t="shared" si="18"/>
        <v>713593.07545691275</v>
      </c>
      <c r="L67" s="101">
        <f t="shared" si="19"/>
        <v>713.59307545691274</v>
      </c>
      <c r="M67" s="101"/>
      <c r="N67" s="101">
        <f t="shared" si="29"/>
        <v>6.6052447074300744</v>
      </c>
      <c r="O67" s="101"/>
      <c r="P67" s="101">
        <f>SUM(N58:N67)</f>
        <v>119.85167622976655</v>
      </c>
      <c r="Q67" s="101">
        <f t="shared" ref="Q67:Q70" si="32">AVERAGE(L67,L143)</f>
        <v>711.97602903158986</v>
      </c>
      <c r="R67" s="101"/>
      <c r="S67" s="89">
        <v>52.4</v>
      </c>
      <c r="T67" s="89">
        <f t="shared" ref="T67:T70" si="33">(G67*S67)*10</f>
        <v>1152.7999999999047</v>
      </c>
      <c r="U67" s="89">
        <f t="shared" si="12"/>
        <v>208421.9000000002</v>
      </c>
      <c r="V67" s="101">
        <f t="shared" ref="V67:V70" si="34">((D67*U67)/((273.15+C67)*760))*273.15</f>
        <v>198251.69903168906</v>
      </c>
      <c r="W67" s="101">
        <f t="shared" si="20"/>
        <v>198.25169903168907</v>
      </c>
      <c r="X67" s="101">
        <f t="shared" si="8"/>
        <v>201.14231219751929</v>
      </c>
      <c r="Y67" s="101">
        <f t="shared" si="30"/>
        <v>1.7541118885523019</v>
      </c>
      <c r="Z67" s="101">
        <f>SUM(Y57:Y66,Y67)</f>
        <v>35.363510661574651</v>
      </c>
      <c r="AA67" s="101">
        <f t="shared" si="25"/>
        <v>1.76908788875852</v>
      </c>
      <c r="AB67" s="101"/>
      <c r="AC67" s="101">
        <f t="shared" si="10"/>
        <v>0.88454394437925998</v>
      </c>
      <c r="AD67" s="101">
        <f t="shared" ref="AD67:AD70" si="35">AVERAGE(W67,W143)</f>
        <v>201.14231219751929</v>
      </c>
      <c r="AE67" s="101">
        <f t="shared" si="11"/>
        <v>100.57115609875964</v>
      </c>
    </row>
    <row r="68" spans="1:36" x14ac:dyDescent="0.25">
      <c r="A68" s="94">
        <v>44468</v>
      </c>
      <c r="B68" s="89">
        <v>152</v>
      </c>
      <c r="C68" s="89">
        <v>22</v>
      </c>
      <c r="D68" s="89">
        <v>773.2</v>
      </c>
      <c r="E68" s="89">
        <v>4713.2</v>
      </c>
      <c r="F68" s="89">
        <v>4713.6000000000004</v>
      </c>
      <c r="G68" s="89">
        <f t="shared" si="5"/>
        <v>0.4000000000005457</v>
      </c>
      <c r="H68" s="89">
        <f t="shared" si="6"/>
        <v>0.20000000000027285</v>
      </c>
      <c r="I68" s="89">
        <f t="shared" si="28"/>
        <v>751.00000000000182</v>
      </c>
      <c r="J68" s="89">
        <f t="shared" si="7"/>
        <v>751000.00000000186</v>
      </c>
      <c r="K68" s="101">
        <f t="shared" si="18"/>
        <v>707093.11313605215</v>
      </c>
      <c r="L68" s="101">
        <f>(K68/1000)</f>
        <v>707.09311313605212</v>
      </c>
      <c r="M68" s="101"/>
      <c r="N68" s="101">
        <f>(L67-L68)</f>
        <v>6.4999623208606181</v>
      </c>
      <c r="O68" s="101"/>
      <c r="P68" s="101">
        <f>SUM(N58:N68)</f>
        <v>126.35163855062717</v>
      </c>
      <c r="Q68" s="101">
        <f t="shared" si="32"/>
        <v>705.68080998065261</v>
      </c>
      <c r="R68" s="101"/>
      <c r="S68" s="89">
        <v>52.4</v>
      </c>
      <c r="T68" s="89">
        <f t="shared" si="33"/>
        <v>209.60000000028595</v>
      </c>
      <c r="U68" s="89">
        <f t="shared" si="12"/>
        <v>208631.50000000049</v>
      </c>
      <c r="V68" s="101">
        <f t="shared" si="34"/>
        <v>196433.95051031193</v>
      </c>
      <c r="W68" s="101">
        <f t="shared" si="20"/>
        <v>196.43395051031192</v>
      </c>
      <c r="X68" s="101">
        <f t="shared" ref="X68:X70" si="36">AVERAGE(W68,W144)</f>
        <v>199.34677869154854</v>
      </c>
      <c r="Y68" s="101">
        <f t="shared" si="30"/>
        <v>-1.7955335059707522</v>
      </c>
      <c r="Z68" s="101">
        <f>SUM(Y57:Y67,Y68)</f>
        <v>33.567977155603899</v>
      </c>
      <c r="AA68" s="101">
        <f t="shared" si="25"/>
        <v>-1.8177485213771547</v>
      </c>
      <c r="AB68" s="101"/>
      <c r="AC68" s="101">
        <f t="shared" ref="AC68:AC70" si="37">(AA68/2)</f>
        <v>-0.90887426068857735</v>
      </c>
      <c r="AD68" s="101">
        <f t="shared" si="35"/>
        <v>199.34677869154854</v>
      </c>
      <c r="AE68" s="101">
        <f t="shared" ref="AE68:AE70" si="38">(AD68/2)</f>
        <v>99.673389345774268</v>
      </c>
    </row>
    <row r="69" spans="1:36" x14ac:dyDescent="0.25">
      <c r="A69" s="94">
        <v>44470</v>
      </c>
      <c r="B69" s="89">
        <v>154</v>
      </c>
      <c r="C69" s="89">
        <v>21</v>
      </c>
      <c r="D69" s="89">
        <v>773.2</v>
      </c>
      <c r="E69" s="89">
        <v>4713.6000000000004</v>
      </c>
      <c r="F69" s="89">
        <v>4714</v>
      </c>
      <c r="G69" s="89">
        <f t="shared" si="5"/>
        <v>0.3999999999996362</v>
      </c>
      <c r="H69" s="89">
        <f t="shared" si="6"/>
        <v>0.1999999999998181</v>
      </c>
      <c r="I69" s="89">
        <f t="shared" si="28"/>
        <v>751.80000000000109</v>
      </c>
      <c r="J69" s="89">
        <f t="shared" ref="J69:J70" si="39">(I69*1000)</f>
        <v>751800.00000000105</v>
      </c>
      <c r="K69" s="101">
        <f t="shared" si="18"/>
        <v>710252.75434123399</v>
      </c>
      <c r="L69" s="101">
        <f t="shared" si="19"/>
        <v>710.25275434123398</v>
      </c>
      <c r="M69" s="101"/>
      <c r="N69" s="101">
        <f>(L69-L68)</f>
        <v>3.1596412051818561</v>
      </c>
      <c r="O69" s="101"/>
      <c r="P69" s="101">
        <f>SUM(N58:N69)</f>
        <v>129.51127975580903</v>
      </c>
      <c r="Q69" s="101">
        <f t="shared" si="32"/>
        <v>709.02459714431416</v>
      </c>
      <c r="R69" s="101"/>
      <c r="S69" s="89">
        <v>52.4</v>
      </c>
      <c r="T69" s="89">
        <f t="shared" si="33"/>
        <v>209.59999999980937</v>
      </c>
      <c r="U69" s="89">
        <f t="shared" ref="U69:U70" si="40">U68+T69</f>
        <v>208841.1000000003</v>
      </c>
      <c r="V69" s="101">
        <f t="shared" si="34"/>
        <v>197299.76921342526</v>
      </c>
      <c r="W69" s="101">
        <f t="shared" si="20"/>
        <v>197.29976921342526</v>
      </c>
      <c r="X69" s="101">
        <f t="shared" si="36"/>
        <v>200.26576884398395</v>
      </c>
      <c r="Y69" s="101">
        <f t="shared" si="30"/>
        <v>0.91899015243541271</v>
      </c>
      <c r="Z69" s="101">
        <f>SUM(Y57:Y68,Y69)</f>
        <v>34.486967308039311</v>
      </c>
      <c r="AA69" s="101">
        <f t="shared" ref="AA69:AA70" si="41">(W69-W68)</f>
        <v>0.86581870311334796</v>
      </c>
      <c r="AB69" s="101"/>
      <c r="AC69" s="101">
        <f t="shared" si="37"/>
        <v>0.43290935155667398</v>
      </c>
      <c r="AD69" s="101">
        <f t="shared" si="35"/>
        <v>200.26576884398395</v>
      </c>
      <c r="AE69" s="101">
        <f t="shared" si="38"/>
        <v>100.13288442199197</v>
      </c>
    </row>
    <row r="70" spans="1:36" x14ac:dyDescent="0.25">
      <c r="A70" s="94">
        <v>44473</v>
      </c>
      <c r="B70" s="89">
        <v>156</v>
      </c>
      <c r="C70" s="89">
        <v>21</v>
      </c>
      <c r="D70" s="89">
        <v>773.2</v>
      </c>
      <c r="E70" s="89">
        <v>4714</v>
      </c>
      <c r="F70" s="89">
        <v>4714.8</v>
      </c>
      <c r="G70" s="89">
        <f>(F70-E70)</f>
        <v>0.8000000000001819</v>
      </c>
      <c r="H70" s="89">
        <f>(G70/2)</f>
        <v>0.40000000000009095</v>
      </c>
      <c r="I70" s="89">
        <f t="shared" si="28"/>
        <v>753.40000000000146</v>
      </c>
      <c r="J70" s="89">
        <f t="shared" si="39"/>
        <v>753400.0000000014</v>
      </c>
      <c r="K70" s="101">
        <f t="shared" si="18"/>
        <v>711764.33242974989</v>
      </c>
      <c r="L70" s="101">
        <f t="shared" si="19"/>
        <v>711.76433242974986</v>
      </c>
      <c r="M70" s="101"/>
      <c r="N70" s="101">
        <f>(L69-L70)</f>
        <v>-1.5115780885158756</v>
      </c>
      <c r="O70" s="101"/>
      <c r="P70" s="101">
        <f>SUM(N57:N69)</f>
        <v>134.88394450713145</v>
      </c>
      <c r="Q70" s="101">
        <f t="shared" si="32"/>
        <v>710.34722797176551</v>
      </c>
      <c r="R70" s="101"/>
      <c r="S70" s="89">
        <v>18.8</v>
      </c>
      <c r="T70" s="89">
        <f t="shared" si="33"/>
        <v>150.4000000000342</v>
      </c>
      <c r="U70" s="89">
        <f t="shared" si="40"/>
        <v>208991.50000000032</v>
      </c>
      <c r="V70" s="101">
        <f t="shared" si="34"/>
        <v>197441.85755374574</v>
      </c>
      <c r="W70" s="101">
        <f t="shared" si="20"/>
        <v>197.44185755374573</v>
      </c>
      <c r="X70" s="101">
        <f t="shared" si="36"/>
        <v>200.38726193284842</v>
      </c>
      <c r="Y70" s="101">
        <f t="shared" si="30"/>
        <v>0.12149308886446875</v>
      </c>
      <c r="Z70" s="101">
        <f>SUM(Y57:Y69,Y70)</f>
        <v>34.60846039690378</v>
      </c>
      <c r="AA70" s="101">
        <f t="shared" si="41"/>
        <v>0.1420883403204698</v>
      </c>
      <c r="AB70" s="101"/>
      <c r="AC70" s="101">
        <f t="shared" si="37"/>
        <v>7.1044170160234899E-2</v>
      </c>
      <c r="AD70" s="101">
        <f t="shared" si="35"/>
        <v>200.38726193284842</v>
      </c>
      <c r="AE70" s="101">
        <f t="shared" si="38"/>
        <v>100.19363096642421</v>
      </c>
    </row>
    <row r="71" spans="1:36" x14ac:dyDescent="0.25">
      <c r="A71" s="94">
        <v>44472</v>
      </c>
      <c r="K71" s="101"/>
      <c r="L71" s="101"/>
      <c r="M71" s="101"/>
      <c r="N71" s="101">
        <f t="shared" si="29"/>
        <v>-711.76433242974986</v>
      </c>
      <c r="O71" s="101"/>
      <c r="P71" s="101">
        <f>SUM(N57:N70)</f>
        <v>133.37236641861557</v>
      </c>
      <c r="Q71" s="101"/>
      <c r="R71" s="101"/>
      <c r="V71" s="101"/>
    </row>
    <row r="72" spans="1:36" x14ac:dyDescent="0.25">
      <c r="A72" s="94">
        <v>44473</v>
      </c>
      <c r="K72" s="101"/>
      <c r="L72" s="101"/>
      <c r="M72" s="101"/>
      <c r="N72" s="101"/>
      <c r="O72" s="101"/>
      <c r="P72" s="101"/>
      <c r="Q72" s="101"/>
      <c r="R72" s="101"/>
      <c r="V72" s="101"/>
    </row>
    <row r="73" spans="1:36" x14ac:dyDescent="0.25">
      <c r="K73" s="101"/>
      <c r="L73" s="101"/>
      <c r="M73" s="101"/>
      <c r="N73" s="101"/>
      <c r="O73" s="101"/>
      <c r="P73" s="101"/>
      <c r="Q73" s="101"/>
      <c r="R73" s="101"/>
      <c r="V73" s="101"/>
    </row>
    <row r="74" spans="1:36" x14ac:dyDescent="0.25">
      <c r="K74" s="101"/>
      <c r="L74" s="101"/>
      <c r="M74" s="101"/>
      <c r="N74" s="101"/>
      <c r="O74" s="101"/>
      <c r="P74" s="101"/>
      <c r="Q74" s="101"/>
      <c r="R74" s="101"/>
      <c r="V74" s="101"/>
    </row>
    <row r="75" spans="1:36" x14ac:dyDescent="0.25">
      <c r="A75" s="94"/>
      <c r="I75" s="89">
        <f>(I68+G75)+(F75-E75)</f>
        <v>751.00000000000182</v>
      </c>
    </row>
    <row r="76" spans="1:36" x14ac:dyDescent="0.25">
      <c r="A76" s="94"/>
    </row>
    <row r="77" spans="1:36" x14ac:dyDescent="0.25">
      <c r="A77" s="97" t="s">
        <v>99</v>
      </c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</row>
    <row r="78" spans="1:36" x14ac:dyDescent="0.25">
      <c r="A78" s="98" t="s">
        <v>15</v>
      </c>
      <c r="B78" s="98" t="s">
        <v>57</v>
      </c>
      <c r="C78" s="98" t="s">
        <v>100</v>
      </c>
      <c r="D78" s="98" t="s">
        <v>101</v>
      </c>
      <c r="E78" s="98" t="s">
        <v>102</v>
      </c>
      <c r="F78" s="98" t="s">
        <v>103</v>
      </c>
      <c r="G78" s="98" t="s">
        <v>104</v>
      </c>
      <c r="H78" s="98"/>
      <c r="I78" s="99" t="s">
        <v>105</v>
      </c>
      <c r="J78" s="99" t="s">
        <v>106</v>
      </c>
      <c r="K78" s="99" t="s">
        <v>107</v>
      </c>
      <c r="L78" s="100" t="s">
        <v>108</v>
      </c>
      <c r="M78" s="100"/>
      <c r="N78" s="100"/>
      <c r="O78" s="100"/>
      <c r="P78" s="100"/>
      <c r="Q78" s="100"/>
      <c r="R78" s="100"/>
      <c r="S78" s="100" t="s">
        <v>67</v>
      </c>
      <c r="T78" s="99" t="s">
        <v>109</v>
      </c>
      <c r="U78" s="99" t="s">
        <v>110</v>
      </c>
      <c r="V78" s="99" t="s">
        <v>111</v>
      </c>
      <c r="W78" s="100" t="s">
        <v>112</v>
      </c>
      <c r="X78" s="100"/>
      <c r="Y78" s="100"/>
      <c r="Z78" s="100"/>
      <c r="AA78" s="100"/>
      <c r="AB78" s="100"/>
      <c r="AC78" s="100"/>
      <c r="AD78" s="100"/>
      <c r="AE78" s="100"/>
      <c r="AF78" s="98" t="s">
        <v>66</v>
      </c>
      <c r="AG78" s="98" t="s">
        <v>113</v>
      </c>
      <c r="AH78" s="98" t="s">
        <v>114</v>
      </c>
      <c r="AI78" s="98" t="s">
        <v>115</v>
      </c>
      <c r="AJ78" s="99" t="s">
        <v>116</v>
      </c>
    </row>
    <row r="79" spans="1:36" x14ac:dyDescent="0.25">
      <c r="A79" s="94">
        <v>44286</v>
      </c>
      <c r="B79" s="89">
        <v>0</v>
      </c>
      <c r="C79" s="89">
        <v>22.5</v>
      </c>
      <c r="D79" s="89">
        <v>810.06</v>
      </c>
      <c r="E79" s="89">
        <v>9880</v>
      </c>
      <c r="F79" s="89">
        <v>9880</v>
      </c>
      <c r="G79" s="89">
        <f>(F79-E79)</f>
        <v>0</v>
      </c>
      <c r="H79" s="89">
        <f t="shared" ref="H79:H110" si="42">(G79/2)</f>
        <v>0</v>
      </c>
      <c r="I79" s="89">
        <f>G79</f>
        <v>0</v>
      </c>
      <c r="J79" s="89">
        <f>(I79*1000)</f>
        <v>0</v>
      </c>
      <c r="K79" s="101">
        <f>((D79*J79)/((273.15+C79)*760))*273.15</f>
        <v>0</v>
      </c>
      <c r="L79" s="101">
        <f>(K79/1000)</f>
        <v>0</v>
      </c>
      <c r="M79" s="101"/>
      <c r="N79" s="101"/>
      <c r="O79" s="101"/>
      <c r="P79" s="101"/>
      <c r="Q79" s="101"/>
      <c r="R79" s="101"/>
      <c r="S79" s="89">
        <v>0</v>
      </c>
      <c r="T79" s="89">
        <f t="shared" ref="T79:T110" si="43">(G79*S79)*10</f>
        <v>0</v>
      </c>
      <c r="U79" s="89">
        <f>T79</f>
        <v>0</v>
      </c>
      <c r="V79" s="101">
        <f t="shared" ref="V79:V110" si="44">((D79*U79)/((273.15+C79)*760))*273.15</f>
        <v>0</v>
      </c>
      <c r="W79" s="101">
        <f t="shared" ref="W79:W85" si="45">(V79/1000)</f>
        <v>0</v>
      </c>
      <c r="X79" s="101"/>
      <c r="Y79" s="101"/>
      <c r="Z79" s="101"/>
      <c r="AA79" s="101"/>
      <c r="AB79" s="101"/>
      <c r="AC79" s="101"/>
      <c r="AD79" s="101"/>
      <c r="AE79" s="101"/>
      <c r="AF79" s="89">
        <v>99.7</v>
      </c>
      <c r="AG79" s="102">
        <v>0.2</v>
      </c>
      <c r="AH79" s="89">
        <v>0</v>
      </c>
      <c r="AI79" s="89" t="s">
        <v>117</v>
      </c>
      <c r="AJ79" s="103">
        <f t="shared" ref="AJ79:AJ109" si="46">SUM(S79,AF79,AG79,AH79)</f>
        <v>99.9</v>
      </c>
    </row>
    <row r="80" spans="1:36" x14ac:dyDescent="0.25">
      <c r="A80" s="94">
        <v>44288</v>
      </c>
      <c r="B80" s="89">
        <v>2</v>
      </c>
      <c r="C80" s="89">
        <v>24.6</v>
      </c>
      <c r="D80" s="89">
        <v>809.1</v>
      </c>
      <c r="E80" s="89">
        <v>9880</v>
      </c>
      <c r="F80" s="89">
        <v>9880</v>
      </c>
      <c r="G80" s="89">
        <f t="shared" ref="G80:G146" si="47">(F80-E80)</f>
        <v>0</v>
      </c>
      <c r="H80" s="89">
        <f t="shared" si="42"/>
        <v>0</v>
      </c>
      <c r="I80" s="89">
        <f t="shared" ref="I80:I87" si="48">(I79+G80)+(F80-E80)</f>
        <v>0</v>
      </c>
      <c r="J80" s="89">
        <f>(I80*1000)</f>
        <v>0</v>
      </c>
      <c r="K80" s="101">
        <f>((D80*J80)/((273.15+C80)*760))*273.15</f>
        <v>0</v>
      </c>
      <c r="L80" s="101">
        <f>(K80/1000)</f>
        <v>0</v>
      </c>
      <c r="M80" s="101"/>
      <c r="N80" s="101"/>
      <c r="O80" s="101"/>
      <c r="P80" s="101"/>
      <c r="Q80" s="101"/>
      <c r="R80" s="101"/>
      <c r="S80" s="89">
        <v>2.7</v>
      </c>
      <c r="T80" s="89">
        <f t="shared" si="43"/>
        <v>0</v>
      </c>
      <c r="U80" s="89">
        <f>U79+T80</f>
        <v>0</v>
      </c>
      <c r="V80" s="101">
        <f t="shared" si="44"/>
        <v>0</v>
      </c>
      <c r="W80" s="101">
        <f t="shared" si="45"/>
        <v>0</v>
      </c>
      <c r="X80" s="101"/>
      <c r="Y80" s="101"/>
      <c r="Z80" s="101"/>
      <c r="AA80" s="101"/>
      <c r="AB80" s="101"/>
      <c r="AC80" s="101"/>
      <c r="AD80" s="101"/>
      <c r="AE80" s="101"/>
      <c r="AF80" s="89">
        <v>97.5</v>
      </c>
      <c r="AG80" s="89">
        <v>0.1</v>
      </c>
      <c r="AH80" s="89">
        <v>0</v>
      </c>
      <c r="AI80" s="89" t="s">
        <v>117</v>
      </c>
      <c r="AJ80" s="103">
        <f t="shared" si="46"/>
        <v>100.3</v>
      </c>
    </row>
    <row r="81" spans="1:36" x14ac:dyDescent="0.25">
      <c r="A81" s="94">
        <v>44291</v>
      </c>
      <c r="B81" s="89">
        <v>5</v>
      </c>
      <c r="C81" s="89">
        <v>20</v>
      </c>
      <c r="D81" s="89">
        <v>768.06</v>
      </c>
      <c r="E81" s="89">
        <v>9880</v>
      </c>
      <c r="F81" s="89">
        <v>9880</v>
      </c>
      <c r="G81" s="89">
        <f t="shared" si="47"/>
        <v>0</v>
      </c>
      <c r="H81" s="89">
        <f t="shared" si="42"/>
        <v>0</v>
      </c>
      <c r="I81" s="89">
        <f t="shared" si="48"/>
        <v>0</v>
      </c>
      <c r="J81" s="89">
        <f>(I81*1000)</f>
        <v>0</v>
      </c>
      <c r="K81" s="101">
        <f>((D81*J81)/((273.15+C81)*760))*273.15</f>
        <v>0</v>
      </c>
      <c r="L81" s="101">
        <f>(K81/1000)</f>
        <v>0</v>
      </c>
      <c r="M81" s="101"/>
      <c r="N81" s="101"/>
      <c r="O81" s="101"/>
      <c r="P81" s="101"/>
      <c r="Q81" s="101"/>
      <c r="R81" s="101"/>
      <c r="S81" s="89">
        <v>2.5</v>
      </c>
      <c r="T81" s="89">
        <f t="shared" si="43"/>
        <v>0</v>
      </c>
      <c r="U81" s="89">
        <f t="shared" ref="U81:U144" si="49">U80+T81</f>
        <v>0</v>
      </c>
      <c r="V81" s="101">
        <f t="shared" si="44"/>
        <v>0</v>
      </c>
      <c r="W81" s="101">
        <f t="shared" si="45"/>
        <v>0</v>
      </c>
      <c r="X81" s="101"/>
      <c r="Y81" s="101"/>
      <c r="Z81" s="101"/>
      <c r="AA81" s="101"/>
      <c r="AB81" s="101"/>
      <c r="AC81" s="101"/>
      <c r="AD81" s="101"/>
      <c r="AE81" s="101"/>
      <c r="AF81" s="89">
        <v>96.1</v>
      </c>
      <c r="AG81" s="89">
        <v>0.2</v>
      </c>
      <c r="AH81" s="89">
        <v>0</v>
      </c>
      <c r="AI81" s="89" t="s">
        <v>117</v>
      </c>
      <c r="AJ81" s="103">
        <f t="shared" si="46"/>
        <v>98.8</v>
      </c>
    </row>
    <row r="82" spans="1:36" x14ac:dyDescent="0.25">
      <c r="A82" s="94">
        <v>44293</v>
      </c>
      <c r="B82" s="89">
        <v>7</v>
      </c>
      <c r="C82" s="89">
        <v>21</v>
      </c>
      <c r="D82" s="89">
        <v>774.51</v>
      </c>
      <c r="E82" s="89">
        <v>9880</v>
      </c>
      <c r="F82" s="89">
        <v>9880</v>
      </c>
      <c r="G82" s="89">
        <f t="shared" si="47"/>
        <v>0</v>
      </c>
      <c r="H82" s="89">
        <f>(G82/2)</f>
        <v>0</v>
      </c>
      <c r="I82" s="89">
        <f t="shared" si="48"/>
        <v>0</v>
      </c>
      <c r="J82" s="89">
        <f t="shared" ref="J82:J124" si="50">(I82*1000)</f>
        <v>0</v>
      </c>
      <c r="K82" s="101">
        <f t="shared" ref="K82:K108" si="51">((D82*J82)/((273.15+C82)*760))*273.15</f>
        <v>0</v>
      </c>
      <c r="L82" s="101">
        <f t="shared" ref="L82:L145" si="52">(K82/1000)</f>
        <v>0</v>
      </c>
      <c r="M82" s="101"/>
      <c r="N82" s="101"/>
      <c r="O82" s="101"/>
      <c r="P82" s="101"/>
      <c r="Q82" s="101"/>
      <c r="R82" s="101"/>
      <c r="S82" s="89">
        <v>10.1</v>
      </c>
      <c r="T82" s="89">
        <f t="shared" si="43"/>
        <v>0</v>
      </c>
      <c r="U82" s="89">
        <f t="shared" si="49"/>
        <v>0</v>
      </c>
      <c r="V82" s="101">
        <f t="shared" si="44"/>
        <v>0</v>
      </c>
      <c r="W82" s="101">
        <f t="shared" si="45"/>
        <v>0</v>
      </c>
      <c r="X82" s="101"/>
      <c r="Y82" s="101"/>
      <c r="Z82" s="101"/>
      <c r="AA82" s="101"/>
      <c r="AB82" s="101"/>
      <c r="AC82" s="101"/>
      <c r="AD82" s="101"/>
      <c r="AE82" s="101"/>
      <c r="AF82" s="89">
        <v>93.1</v>
      </c>
      <c r="AG82" s="89">
        <v>1</v>
      </c>
      <c r="AH82" s="89">
        <v>0.3</v>
      </c>
      <c r="AI82" s="89">
        <v>3253</v>
      </c>
      <c r="AJ82" s="103">
        <f t="shared" si="46"/>
        <v>104.49999999999999</v>
      </c>
    </row>
    <row r="83" spans="1:36" x14ac:dyDescent="0.25">
      <c r="A83" s="94">
        <v>44295</v>
      </c>
      <c r="B83" s="89">
        <v>9</v>
      </c>
      <c r="C83" s="89">
        <v>21.5</v>
      </c>
      <c r="D83" s="89">
        <v>769.56</v>
      </c>
      <c r="E83" s="89">
        <v>9880</v>
      </c>
      <c r="F83" s="89">
        <v>9880</v>
      </c>
      <c r="G83" s="89">
        <f t="shared" si="47"/>
        <v>0</v>
      </c>
      <c r="H83" s="89">
        <f t="shared" si="42"/>
        <v>0</v>
      </c>
      <c r="I83" s="89">
        <f t="shared" si="48"/>
        <v>0</v>
      </c>
      <c r="J83" s="89">
        <f t="shared" si="50"/>
        <v>0</v>
      </c>
      <c r="K83" s="101">
        <f t="shared" si="51"/>
        <v>0</v>
      </c>
      <c r="L83" s="101">
        <f t="shared" si="52"/>
        <v>0</v>
      </c>
      <c r="M83" s="101"/>
      <c r="N83" s="101"/>
      <c r="O83" s="101"/>
      <c r="P83" s="101"/>
      <c r="Q83" s="101"/>
      <c r="R83" s="101"/>
      <c r="S83" s="89">
        <v>16</v>
      </c>
      <c r="T83" s="89">
        <f t="shared" si="43"/>
        <v>0</v>
      </c>
      <c r="U83" s="89">
        <f t="shared" si="49"/>
        <v>0</v>
      </c>
      <c r="V83" s="101">
        <f t="shared" si="44"/>
        <v>0</v>
      </c>
      <c r="W83" s="101">
        <f t="shared" si="45"/>
        <v>0</v>
      </c>
      <c r="X83" s="101"/>
      <c r="Y83" s="101"/>
      <c r="Z83" s="101"/>
      <c r="AA83" s="101"/>
      <c r="AB83" s="101"/>
      <c r="AC83" s="101"/>
      <c r="AD83" s="101"/>
      <c r="AE83" s="101"/>
      <c r="AF83" s="89">
        <v>87.6</v>
      </c>
      <c r="AG83" s="89">
        <v>1.3</v>
      </c>
      <c r="AH83" s="89">
        <v>5.0999999999999996</v>
      </c>
      <c r="AI83" s="89">
        <v>2801</v>
      </c>
      <c r="AJ83" s="103">
        <f t="shared" si="46"/>
        <v>109.99999999999999</v>
      </c>
    </row>
    <row r="84" spans="1:36" x14ac:dyDescent="0.25">
      <c r="A84" s="94">
        <v>44298</v>
      </c>
      <c r="B84" s="89">
        <v>12</v>
      </c>
      <c r="C84" s="89">
        <v>19.8</v>
      </c>
      <c r="D84" s="89">
        <v>768.81</v>
      </c>
      <c r="E84" s="89">
        <v>9880</v>
      </c>
      <c r="F84" s="89">
        <v>9880</v>
      </c>
      <c r="G84" s="89">
        <f t="shared" si="47"/>
        <v>0</v>
      </c>
      <c r="H84" s="89">
        <f t="shared" si="42"/>
        <v>0</v>
      </c>
      <c r="I84" s="89">
        <f t="shared" si="48"/>
        <v>0</v>
      </c>
      <c r="J84" s="89">
        <f t="shared" si="50"/>
        <v>0</v>
      </c>
      <c r="K84" s="101">
        <f t="shared" si="51"/>
        <v>0</v>
      </c>
      <c r="L84" s="101">
        <f t="shared" si="52"/>
        <v>0</v>
      </c>
      <c r="M84" s="101"/>
      <c r="N84" s="101"/>
      <c r="O84" s="101"/>
      <c r="P84" s="101"/>
      <c r="Q84" s="101"/>
      <c r="R84" s="101"/>
      <c r="S84" s="89">
        <v>18.8</v>
      </c>
      <c r="T84" s="89">
        <f t="shared" si="43"/>
        <v>0</v>
      </c>
      <c r="U84" s="89">
        <f t="shared" si="49"/>
        <v>0</v>
      </c>
      <c r="V84" s="101">
        <f t="shared" si="44"/>
        <v>0</v>
      </c>
      <c r="W84" s="101">
        <f t="shared" si="45"/>
        <v>0</v>
      </c>
      <c r="X84" s="101"/>
      <c r="Y84" s="101"/>
      <c r="Z84" s="101"/>
      <c r="AA84" s="101"/>
      <c r="AB84" s="101"/>
      <c r="AC84" s="101"/>
      <c r="AD84" s="101"/>
      <c r="AE84" s="101"/>
      <c r="AF84" s="89">
        <v>71.8</v>
      </c>
      <c r="AG84" s="89">
        <v>2.1</v>
      </c>
      <c r="AH84" s="89">
        <v>0</v>
      </c>
      <c r="AI84" s="89">
        <v>1217</v>
      </c>
      <c r="AJ84" s="103">
        <f t="shared" si="46"/>
        <v>92.699999999999989</v>
      </c>
    </row>
    <row r="85" spans="1:36" x14ac:dyDescent="0.25">
      <c r="A85" s="94">
        <v>44300</v>
      </c>
      <c r="B85" s="89">
        <v>14</v>
      </c>
      <c r="C85" s="89">
        <v>18.5</v>
      </c>
      <c r="D85" s="89">
        <v>767.35</v>
      </c>
      <c r="E85" s="89">
        <v>9880</v>
      </c>
      <c r="F85" s="89">
        <v>9880</v>
      </c>
      <c r="G85" s="89">
        <f t="shared" si="47"/>
        <v>0</v>
      </c>
      <c r="H85" s="89">
        <f t="shared" si="42"/>
        <v>0</v>
      </c>
      <c r="I85" s="89">
        <f t="shared" si="48"/>
        <v>0</v>
      </c>
      <c r="J85" s="89">
        <f t="shared" si="50"/>
        <v>0</v>
      </c>
      <c r="K85" s="101">
        <f t="shared" si="51"/>
        <v>0</v>
      </c>
      <c r="L85" s="101">
        <f t="shared" si="52"/>
        <v>0</v>
      </c>
      <c r="M85" s="101"/>
      <c r="N85" s="101"/>
      <c r="O85" s="101"/>
      <c r="P85" s="101"/>
      <c r="Q85" s="101"/>
      <c r="R85" s="101"/>
      <c r="S85" s="89">
        <v>21.9</v>
      </c>
      <c r="T85" s="89">
        <f t="shared" si="43"/>
        <v>0</v>
      </c>
      <c r="U85" s="89">
        <f t="shared" si="49"/>
        <v>0</v>
      </c>
      <c r="V85" s="101">
        <f t="shared" si="44"/>
        <v>0</v>
      </c>
      <c r="W85" s="101">
        <f t="shared" si="45"/>
        <v>0</v>
      </c>
      <c r="X85" s="101"/>
      <c r="Y85" s="101"/>
      <c r="Z85" s="101"/>
      <c r="AA85" s="101"/>
      <c r="AB85" s="101"/>
      <c r="AC85" s="101"/>
      <c r="AD85" s="101"/>
      <c r="AE85" s="101"/>
      <c r="AF85" s="89">
        <v>50</v>
      </c>
      <c r="AG85" s="89">
        <v>0.4</v>
      </c>
      <c r="AH85" s="89">
        <v>0</v>
      </c>
      <c r="AI85" s="89">
        <v>925</v>
      </c>
      <c r="AJ85" s="103">
        <f t="shared" si="46"/>
        <v>72.300000000000011</v>
      </c>
    </row>
    <row r="86" spans="1:36" x14ac:dyDescent="0.25">
      <c r="A86" s="94">
        <v>44302</v>
      </c>
      <c r="B86" s="89">
        <v>16</v>
      </c>
      <c r="C86" s="89">
        <v>24.2</v>
      </c>
      <c r="D86" s="89">
        <v>767.31</v>
      </c>
      <c r="E86" s="89">
        <v>9880</v>
      </c>
      <c r="F86" s="89">
        <v>9880</v>
      </c>
      <c r="G86" s="89">
        <f t="shared" si="47"/>
        <v>0</v>
      </c>
      <c r="H86" s="89">
        <f t="shared" si="42"/>
        <v>0</v>
      </c>
      <c r="I86" s="89">
        <f t="shared" si="48"/>
        <v>0</v>
      </c>
      <c r="J86" s="89">
        <f t="shared" si="50"/>
        <v>0</v>
      </c>
      <c r="K86" s="101">
        <f t="shared" si="51"/>
        <v>0</v>
      </c>
      <c r="L86" s="101">
        <f t="shared" si="52"/>
        <v>0</v>
      </c>
      <c r="M86" s="101"/>
      <c r="N86" s="101"/>
      <c r="O86" s="101"/>
      <c r="P86" s="101"/>
      <c r="Q86" s="101"/>
      <c r="R86" s="101"/>
      <c r="S86" s="89">
        <v>22.6</v>
      </c>
      <c r="T86" s="89">
        <f t="shared" si="43"/>
        <v>0</v>
      </c>
      <c r="U86" s="89">
        <f t="shared" si="49"/>
        <v>0</v>
      </c>
      <c r="V86" s="101">
        <f t="shared" si="44"/>
        <v>0</v>
      </c>
      <c r="W86" s="101">
        <f t="shared" ref="W86:W108" si="53">(V86/1000)</f>
        <v>0</v>
      </c>
      <c r="X86" s="101"/>
      <c r="Y86" s="101"/>
      <c r="Z86" s="101"/>
      <c r="AA86" s="101"/>
      <c r="AB86" s="101"/>
      <c r="AC86" s="101"/>
      <c r="AD86" s="101"/>
      <c r="AE86" s="101"/>
      <c r="AF86" s="89">
        <v>50.3</v>
      </c>
      <c r="AG86" s="89">
        <v>0.3</v>
      </c>
      <c r="AH86" s="89">
        <v>0</v>
      </c>
      <c r="AI86" s="89">
        <v>1105</v>
      </c>
      <c r="AJ86" s="103">
        <f t="shared" si="46"/>
        <v>73.2</v>
      </c>
    </row>
    <row r="87" spans="1:36" x14ac:dyDescent="0.25">
      <c r="A87" s="94">
        <v>44305</v>
      </c>
      <c r="B87" s="89">
        <v>19</v>
      </c>
      <c r="C87" s="89">
        <v>20.5</v>
      </c>
      <c r="D87" s="89">
        <v>769.56</v>
      </c>
      <c r="E87" s="89">
        <v>9880</v>
      </c>
      <c r="F87" s="89">
        <v>9880</v>
      </c>
      <c r="G87" s="89">
        <f t="shared" si="47"/>
        <v>0</v>
      </c>
      <c r="H87" s="89">
        <f t="shared" si="42"/>
        <v>0</v>
      </c>
      <c r="I87" s="89">
        <f t="shared" si="48"/>
        <v>0</v>
      </c>
      <c r="J87" s="89">
        <f t="shared" si="50"/>
        <v>0</v>
      </c>
      <c r="K87" s="101">
        <f t="shared" si="51"/>
        <v>0</v>
      </c>
      <c r="L87" s="101">
        <f t="shared" si="52"/>
        <v>0</v>
      </c>
      <c r="M87" s="101"/>
      <c r="N87" s="101"/>
      <c r="O87" s="101"/>
      <c r="P87" s="101"/>
      <c r="Q87" s="101"/>
      <c r="R87" s="101"/>
      <c r="S87" s="89">
        <v>24.4</v>
      </c>
      <c r="T87" s="89">
        <f t="shared" si="43"/>
        <v>0</v>
      </c>
      <c r="U87" s="89">
        <f t="shared" si="49"/>
        <v>0</v>
      </c>
      <c r="V87" s="101">
        <f t="shared" si="44"/>
        <v>0</v>
      </c>
      <c r="W87" s="101">
        <f t="shared" si="53"/>
        <v>0</v>
      </c>
      <c r="X87" s="101"/>
      <c r="Y87" s="101"/>
      <c r="Z87" s="101"/>
      <c r="AA87" s="101"/>
      <c r="AB87" s="101"/>
      <c r="AC87" s="101"/>
      <c r="AD87" s="101"/>
      <c r="AE87" s="101"/>
      <c r="AF87" s="89">
        <v>47.4</v>
      </c>
      <c r="AG87" s="89">
        <v>0.1</v>
      </c>
      <c r="AH87" s="89">
        <v>0</v>
      </c>
      <c r="AI87" s="89">
        <v>1417</v>
      </c>
      <c r="AJ87" s="103">
        <f t="shared" si="46"/>
        <v>71.899999999999991</v>
      </c>
    </row>
    <row r="88" spans="1:36" x14ac:dyDescent="0.25">
      <c r="A88" s="94">
        <v>44307</v>
      </c>
      <c r="B88" s="89">
        <v>21</v>
      </c>
      <c r="C88" s="89">
        <v>22.8</v>
      </c>
      <c r="D88" s="89">
        <v>768.06</v>
      </c>
      <c r="E88" s="89">
        <v>9880</v>
      </c>
      <c r="F88" s="89">
        <v>9884</v>
      </c>
      <c r="G88" s="89">
        <f t="shared" si="47"/>
        <v>4</v>
      </c>
      <c r="H88" s="89">
        <f t="shared" si="42"/>
        <v>2</v>
      </c>
      <c r="I88" s="89">
        <f t="shared" ref="I88:I95" si="54">(I87+G88)+(F88-E88)</f>
        <v>8</v>
      </c>
      <c r="J88" s="89">
        <f t="shared" si="50"/>
        <v>8000</v>
      </c>
      <c r="K88" s="101">
        <f t="shared" si="51"/>
        <v>7461.9855416544397</v>
      </c>
      <c r="L88" s="101">
        <f t="shared" si="52"/>
        <v>7.4619855416544398</v>
      </c>
      <c r="M88" s="101"/>
      <c r="N88" s="101"/>
      <c r="O88" s="101"/>
      <c r="P88" s="101"/>
      <c r="Q88" s="101"/>
      <c r="R88" s="101"/>
      <c r="S88" s="89">
        <v>26.6</v>
      </c>
      <c r="T88" s="89">
        <f t="shared" si="43"/>
        <v>1064</v>
      </c>
      <c r="U88" s="89">
        <f t="shared" si="49"/>
        <v>1064</v>
      </c>
      <c r="V88" s="101">
        <f t="shared" si="44"/>
        <v>992.44407704004038</v>
      </c>
      <c r="W88" s="101">
        <f t="shared" si="53"/>
        <v>0.99244407704004034</v>
      </c>
      <c r="X88" s="101"/>
      <c r="Y88" s="101"/>
      <c r="Z88" s="101"/>
      <c r="AA88" s="101"/>
      <c r="AB88" s="101"/>
      <c r="AC88" s="101"/>
      <c r="AD88" s="101"/>
      <c r="AE88" s="101"/>
      <c r="AF88" s="89">
        <v>43.6</v>
      </c>
      <c r="AG88" s="89">
        <v>0.2</v>
      </c>
      <c r="AH88" s="89">
        <v>0</v>
      </c>
      <c r="AI88" s="89">
        <v>1782</v>
      </c>
      <c r="AJ88" s="103">
        <f t="shared" si="46"/>
        <v>70.400000000000006</v>
      </c>
    </row>
    <row r="89" spans="1:36" x14ac:dyDescent="0.25">
      <c r="A89" s="94">
        <v>44309</v>
      </c>
      <c r="B89" s="89">
        <v>23</v>
      </c>
      <c r="C89" s="89">
        <v>20.3</v>
      </c>
      <c r="D89" s="89">
        <v>768.81</v>
      </c>
      <c r="E89" s="89">
        <v>9884</v>
      </c>
      <c r="F89" s="89">
        <v>9886</v>
      </c>
      <c r="G89" s="89">
        <f t="shared" si="47"/>
        <v>2</v>
      </c>
      <c r="H89" s="89">
        <f t="shared" si="42"/>
        <v>1</v>
      </c>
      <c r="I89" s="89">
        <f t="shared" si="54"/>
        <v>12</v>
      </c>
      <c r="J89" s="89">
        <f t="shared" si="50"/>
        <v>12000</v>
      </c>
      <c r="K89" s="101">
        <f t="shared" si="51"/>
        <v>11299.357991588271</v>
      </c>
      <c r="L89" s="101">
        <f t="shared" si="52"/>
        <v>11.299357991588272</v>
      </c>
      <c r="M89" s="101"/>
      <c r="N89" s="101"/>
      <c r="O89" s="101"/>
      <c r="P89" s="101"/>
      <c r="Q89" s="101"/>
      <c r="R89" s="101"/>
      <c r="S89" s="89">
        <v>30.1</v>
      </c>
      <c r="T89" s="89">
        <f t="shared" si="43"/>
        <v>602</v>
      </c>
      <c r="U89" s="89">
        <f t="shared" si="49"/>
        <v>1666</v>
      </c>
      <c r="V89" s="101">
        <f t="shared" si="44"/>
        <v>1568.7275344988384</v>
      </c>
      <c r="W89" s="101">
        <f t="shared" si="53"/>
        <v>1.5687275344988385</v>
      </c>
      <c r="X89" s="101"/>
      <c r="Y89" s="101"/>
      <c r="Z89" s="101"/>
      <c r="AA89" s="101"/>
      <c r="AB89" s="101"/>
      <c r="AC89" s="101"/>
      <c r="AD89" s="101"/>
      <c r="AE89" s="101"/>
      <c r="AF89" s="89">
        <v>43.4</v>
      </c>
      <c r="AG89" s="89">
        <v>0.2</v>
      </c>
      <c r="AH89" s="89">
        <v>0</v>
      </c>
      <c r="AI89" s="89">
        <v>1364</v>
      </c>
      <c r="AJ89" s="103">
        <f t="shared" si="46"/>
        <v>73.7</v>
      </c>
    </row>
    <row r="90" spans="1:36" x14ac:dyDescent="0.25">
      <c r="A90" s="94">
        <v>44312</v>
      </c>
      <c r="B90" s="89">
        <v>26</v>
      </c>
      <c r="C90" s="89">
        <v>20.100000000000001</v>
      </c>
      <c r="D90" s="89">
        <v>770</v>
      </c>
      <c r="E90" s="89">
        <v>9886</v>
      </c>
      <c r="F90" s="89">
        <v>9891</v>
      </c>
      <c r="G90" s="89">
        <f t="shared" si="47"/>
        <v>5</v>
      </c>
      <c r="H90" s="89">
        <f>(G90/2)</f>
        <v>2.5</v>
      </c>
      <c r="I90" s="89">
        <f t="shared" si="54"/>
        <v>22</v>
      </c>
      <c r="J90" s="89">
        <f t="shared" si="50"/>
        <v>22000</v>
      </c>
      <c r="K90" s="101">
        <f t="shared" si="51"/>
        <v>20761.704132453895</v>
      </c>
      <c r="L90" s="101">
        <f t="shared" si="52"/>
        <v>20.761704132453897</v>
      </c>
      <c r="M90" s="101"/>
      <c r="N90" s="101"/>
      <c r="O90" s="101"/>
      <c r="P90" s="101"/>
      <c r="Q90" s="101"/>
      <c r="R90" s="101"/>
      <c r="S90" s="89">
        <v>31.7</v>
      </c>
      <c r="T90" s="89">
        <f t="shared" si="43"/>
        <v>1585</v>
      </c>
      <c r="U90" s="89">
        <f t="shared" si="49"/>
        <v>3251</v>
      </c>
      <c r="V90" s="101">
        <f t="shared" si="44"/>
        <v>3068.0136424821644</v>
      </c>
      <c r="W90" s="101">
        <f t="shared" si="53"/>
        <v>3.0680136424821645</v>
      </c>
      <c r="X90" s="101"/>
      <c r="Y90" s="101"/>
      <c r="Z90" s="101"/>
      <c r="AA90" s="101"/>
      <c r="AB90" s="101"/>
      <c r="AC90" s="101"/>
      <c r="AD90" s="101"/>
      <c r="AE90" s="101"/>
      <c r="AF90" s="89">
        <v>43.2</v>
      </c>
      <c r="AG90" s="89">
        <v>0.2</v>
      </c>
      <c r="AH90" s="89">
        <v>0</v>
      </c>
      <c r="AI90" s="89">
        <v>1364</v>
      </c>
      <c r="AJ90" s="103">
        <f t="shared" si="46"/>
        <v>75.100000000000009</v>
      </c>
    </row>
    <row r="91" spans="1:36" x14ac:dyDescent="0.25">
      <c r="A91" s="94">
        <v>44314</v>
      </c>
      <c r="B91" s="89">
        <v>28</v>
      </c>
      <c r="C91" s="89">
        <v>21.5</v>
      </c>
      <c r="D91" s="89">
        <v>771.81</v>
      </c>
      <c r="E91" s="89">
        <v>9891</v>
      </c>
      <c r="F91" s="89">
        <v>9895</v>
      </c>
      <c r="G91" s="89">
        <f t="shared" si="47"/>
        <v>4</v>
      </c>
      <c r="H91" s="89">
        <f t="shared" si="42"/>
        <v>2</v>
      </c>
      <c r="I91" s="89">
        <f t="shared" si="54"/>
        <v>30</v>
      </c>
      <c r="J91" s="89">
        <f t="shared" si="50"/>
        <v>30000</v>
      </c>
      <c r="K91" s="101">
        <f t="shared" si="51"/>
        <v>28243.129873087608</v>
      </c>
      <c r="L91" s="101">
        <f t="shared" si="52"/>
        <v>28.243129873087607</v>
      </c>
      <c r="M91" s="101"/>
      <c r="N91" s="101"/>
      <c r="O91" s="101"/>
      <c r="P91" s="101"/>
      <c r="Q91" s="101"/>
      <c r="R91" s="101"/>
      <c r="S91" s="89">
        <v>34.299999999999997</v>
      </c>
      <c r="T91" s="89">
        <f t="shared" si="43"/>
        <v>1372</v>
      </c>
      <c r="U91" s="89">
        <f t="shared" si="49"/>
        <v>4623</v>
      </c>
      <c r="V91" s="101">
        <f t="shared" si="44"/>
        <v>4352.2663134428003</v>
      </c>
      <c r="W91" s="101">
        <f t="shared" si="53"/>
        <v>4.3522663134427999</v>
      </c>
      <c r="X91" s="101"/>
      <c r="Y91" s="101"/>
      <c r="Z91" s="101"/>
      <c r="AA91" s="101"/>
      <c r="AB91" s="101"/>
      <c r="AC91" s="101"/>
      <c r="AD91" s="101"/>
      <c r="AE91" s="101"/>
      <c r="AF91" s="89">
        <v>37.700000000000003</v>
      </c>
      <c r="AG91" s="89">
        <v>2</v>
      </c>
      <c r="AH91" s="89">
        <v>0</v>
      </c>
      <c r="AI91" s="89">
        <v>781</v>
      </c>
      <c r="AJ91" s="103">
        <f t="shared" si="46"/>
        <v>74</v>
      </c>
    </row>
    <row r="92" spans="1:36" x14ac:dyDescent="0.25">
      <c r="A92" s="94">
        <v>43951</v>
      </c>
      <c r="B92" s="89">
        <v>30</v>
      </c>
      <c r="C92" s="89">
        <v>22.2</v>
      </c>
      <c r="D92" s="89">
        <v>768.81</v>
      </c>
      <c r="E92" s="89">
        <v>9895</v>
      </c>
      <c r="F92" s="89">
        <v>9899</v>
      </c>
      <c r="G92" s="89">
        <f t="shared" si="47"/>
        <v>4</v>
      </c>
      <c r="H92" s="89">
        <f t="shared" si="42"/>
        <v>2</v>
      </c>
      <c r="I92" s="89">
        <f t="shared" si="54"/>
        <v>38</v>
      </c>
      <c r="J92" s="89">
        <f t="shared" si="50"/>
        <v>38000</v>
      </c>
      <c r="K92" s="101">
        <f t="shared" si="51"/>
        <v>35551.117572371761</v>
      </c>
      <c r="L92" s="101">
        <f t="shared" si="52"/>
        <v>35.551117572371759</v>
      </c>
      <c r="M92" s="101"/>
      <c r="N92" s="101"/>
      <c r="O92" s="101"/>
      <c r="P92" s="101"/>
      <c r="Q92" s="101"/>
      <c r="R92" s="101"/>
      <c r="S92" s="89">
        <v>38.6</v>
      </c>
      <c r="T92" s="89">
        <f t="shared" si="43"/>
        <v>1544</v>
      </c>
      <c r="U92" s="89">
        <f t="shared" si="49"/>
        <v>6167</v>
      </c>
      <c r="V92" s="101">
        <f t="shared" si="44"/>
        <v>5769.5721597057018</v>
      </c>
      <c r="W92" s="101">
        <f t="shared" si="53"/>
        <v>5.7695721597057021</v>
      </c>
      <c r="X92" s="101"/>
      <c r="Y92" s="101"/>
      <c r="Z92" s="101"/>
      <c r="AA92" s="101"/>
      <c r="AB92" s="101"/>
      <c r="AC92" s="101"/>
      <c r="AD92" s="101"/>
      <c r="AE92" s="101"/>
      <c r="AF92" s="89">
        <v>29.7</v>
      </c>
      <c r="AG92" s="89">
        <v>2.2000000000000002</v>
      </c>
      <c r="AH92" s="89">
        <v>7.5</v>
      </c>
      <c r="AI92" s="89">
        <v>458</v>
      </c>
      <c r="AJ92" s="103">
        <f t="shared" si="46"/>
        <v>78</v>
      </c>
    </row>
    <row r="93" spans="1:36" x14ac:dyDescent="0.25">
      <c r="A93" s="94">
        <v>44319</v>
      </c>
      <c r="B93" s="89">
        <v>33</v>
      </c>
      <c r="C93" s="89">
        <v>19.8</v>
      </c>
      <c r="D93" s="89">
        <v>768.06</v>
      </c>
      <c r="E93" s="89">
        <v>9899</v>
      </c>
      <c r="F93" s="89">
        <v>9903</v>
      </c>
      <c r="G93" s="89">
        <f t="shared" si="47"/>
        <v>4</v>
      </c>
      <c r="H93" s="89">
        <f t="shared" si="42"/>
        <v>2</v>
      </c>
      <c r="I93" s="89">
        <f t="shared" si="54"/>
        <v>46</v>
      </c>
      <c r="J93" s="89">
        <f t="shared" si="50"/>
        <v>46000</v>
      </c>
      <c r="K93" s="101">
        <f t="shared" si="51"/>
        <v>43345.806694154737</v>
      </c>
      <c r="L93" s="101">
        <f t="shared" si="52"/>
        <v>43.345806694154739</v>
      </c>
      <c r="M93" s="101"/>
      <c r="N93" s="101"/>
      <c r="O93" s="101"/>
      <c r="P93" s="101"/>
      <c r="Q93" s="101"/>
      <c r="R93" s="101"/>
      <c r="S93" s="89">
        <v>38.200000000000003</v>
      </c>
      <c r="T93" s="89">
        <f t="shared" si="43"/>
        <v>1528</v>
      </c>
      <c r="U93" s="89">
        <f t="shared" si="49"/>
        <v>7695</v>
      </c>
      <c r="V93" s="101">
        <f t="shared" si="44"/>
        <v>7250.9996198156668</v>
      </c>
      <c r="W93" s="101">
        <f t="shared" si="53"/>
        <v>7.2509996198156665</v>
      </c>
      <c r="X93" s="101"/>
      <c r="Y93" s="101"/>
      <c r="Z93" s="101"/>
      <c r="AA93" s="101"/>
      <c r="AB93" s="101"/>
      <c r="AC93" s="101"/>
      <c r="AD93" s="101"/>
      <c r="AE93" s="101"/>
      <c r="AF93" s="89">
        <v>26.8</v>
      </c>
      <c r="AG93" s="89">
        <v>0.4</v>
      </c>
      <c r="AH93" s="89">
        <v>8</v>
      </c>
      <c r="AI93" s="89">
        <v>335</v>
      </c>
      <c r="AJ93" s="103">
        <f t="shared" si="46"/>
        <v>73.400000000000006</v>
      </c>
    </row>
    <row r="94" spans="1:36" x14ac:dyDescent="0.25">
      <c r="A94" s="94">
        <v>44321</v>
      </c>
      <c r="B94" s="89">
        <v>35</v>
      </c>
      <c r="C94" s="89">
        <v>19.2</v>
      </c>
      <c r="D94" s="89">
        <v>768.81</v>
      </c>
      <c r="E94" s="89">
        <v>9903</v>
      </c>
      <c r="F94" s="89">
        <v>9908</v>
      </c>
      <c r="G94" s="89">
        <f t="shared" si="47"/>
        <v>5</v>
      </c>
      <c r="H94" s="89">
        <f t="shared" si="42"/>
        <v>2.5</v>
      </c>
      <c r="I94" s="89">
        <f t="shared" si="54"/>
        <v>56</v>
      </c>
      <c r="J94" s="89">
        <f t="shared" si="50"/>
        <v>56000</v>
      </c>
      <c r="K94" s="101">
        <f t="shared" si="51"/>
        <v>52928.741162809543</v>
      </c>
      <c r="L94" s="101">
        <f t="shared" si="52"/>
        <v>52.928741162809544</v>
      </c>
      <c r="M94" s="101"/>
      <c r="N94" s="101"/>
      <c r="O94" s="101"/>
      <c r="P94" s="101"/>
      <c r="Q94" s="101"/>
      <c r="R94" s="101"/>
      <c r="S94" s="89">
        <v>40.1</v>
      </c>
      <c r="T94" s="89">
        <f t="shared" si="43"/>
        <v>2005</v>
      </c>
      <c r="U94" s="89">
        <f t="shared" si="49"/>
        <v>9700</v>
      </c>
      <c r="V94" s="101">
        <f t="shared" si="44"/>
        <v>9168.0140942723665</v>
      </c>
      <c r="W94" s="101">
        <f t="shared" si="53"/>
        <v>9.1680140942723671</v>
      </c>
      <c r="X94" s="101"/>
      <c r="Y94" s="101"/>
      <c r="Z94" s="101"/>
      <c r="AA94" s="101"/>
      <c r="AB94" s="101"/>
      <c r="AC94" s="101"/>
      <c r="AD94" s="101"/>
      <c r="AE94" s="101"/>
      <c r="AF94" s="89">
        <v>26.1</v>
      </c>
      <c r="AG94" s="89">
        <v>3.4</v>
      </c>
      <c r="AH94" s="89">
        <v>17.600000000000001</v>
      </c>
      <c r="AI94" s="89">
        <v>211</v>
      </c>
      <c r="AJ94" s="103">
        <f t="shared" si="46"/>
        <v>87.200000000000017</v>
      </c>
    </row>
    <row r="95" spans="1:36" x14ac:dyDescent="0.25">
      <c r="A95" s="94">
        <v>44323</v>
      </c>
      <c r="B95" s="89">
        <v>37</v>
      </c>
      <c r="C95" s="89">
        <v>17.2</v>
      </c>
      <c r="D95" s="89">
        <v>766.56</v>
      </c>
      <c r="E95" s="89">
        <v>9908</v>
      </c>
      <c r="F95" s="89">
        <v>9914</v>
      </c>
      <c r="G95" s="89">
        <f>(F95-E95)</f>
        <v>6</v>
      </c>
      <c r="H95" s="89">
        <f t="shared" si="42"/>
        <v>3</v>
      </c>
      <c r="I95" s="89">
        <f t="shared" si="54"/>
        <v>68</v>
      </c>
      <c r="J95" s="89">
        <f t="shared" si="50"/>
        <v>68000</v>
      </c>
      <c r="K95" s="101">
        <f t="shared" si="51"/>
        <v>64523.935504336871</v>
      </c>
      <c r="L95" s="101">
        <f t="shared" si="52"/>
        <v>64.523935504336876</v>
      </c>
      <c r="M95" s="101"/>
      <c r="N95" s="101"/>
      <c r="O95" s="101"/>
      <c r="P95" s="101"/>
      <c r="Q95" s="101"/>
      <c r="R95" s="101"/>
      <c r="S95" s="89">
        <v>38.1</v>
      </c>
      <c r="T95" s="89">
        <f t="shared" si="43"/>
        <v>2286</v>
      </c>
      <c r="U95" s="89">
        <f t="shared" si="49"/>
        <v>11986</v>
      </c>
      <c r="V95" s="101">
        <f t="shared" si="44"/>
        <v>11373.292514043851</v>
      </c>
      <c r="W95" s="101">
        <f t="shared" si="53"/>
        <v>11.37329251404385</v>
      </c>
      <c r="X95" s="101"/>
      <c r="Y95" s="101"/>
      <c r="Z95" s="101"/>
      <c r="AA95" s="101"/>
      <c r="AB95" s="101"/>
      <c r="AC95" s="101"/>
      <c r="AD95" s="101"/>
      <c r="AE95" s="101"/>
      <c r="AJ95" s="103">
        <f t="shared" si="46"/>
        <v>38.1</v>
      </c>
    </row>
    <row r="96" spans="1:36" x14ac:dyDescent="0.25">
      <c r="A96" s="94">
        <v>44326</v>
      </c>
      <c r="B96" s="89">
        <v>40</v>
      </c>
      <c r="C96" s="89">
        <v>17.100000000000001</v>
      </c>
      <c r="D96" s="89">
        <v>770.31</v>
      </c>
      <c r="E96" s="89">
        <v>9914</v>
      </c>
      <c r="F96" s="89">
        <v>9920</v>
      </c>
      <c r="G96" s="89">
        <f t="shared" si="47"/>
        <v>6</v>
      </c>
      <c r="H96" s="89">
        <f t="shared" si="42"/>
        <v>3</v>
      </c>
      <c r="I96" s="89">
        <f>(I95+G96)+(F96-E96)</f>
        <v>80</v>
      </c>
      <c r="J96" s="89">
        <f t="shared" si="50"/>
        <v>80000</v>
      </c>
      <c r="K96" s="101">
        <f t="shared" si="51"/>
        <v>76308.146878824948</v>
      </c>
      <c r="L96" s="101">
        <f t="shared" si="52"/>
        <v>76.308146878824942</v>
      </c>
      <c r="M96" s="101"/>
      <c r="N96" s="101"/>
      <c r="O96" s="101"/>
      <c r="P96" s="101"/>
      <c r="Q96" s="101"/>
      <c r="R96" s="101"/>
      <c r="S96" s="89">
        <v>37.9</v>
      </c>
      <c r="T96" s="89">
        <f t="shared" si="43"/>
        <v>2274</v>
      </c>
      <c r="U96" s="89">
        <f t="shared" si="49"/>
        <v>14260</v>
      </c>
      <c r="V96" s="101">
        <f t="shared" si="44"/>
        <v>13601.92718115055</v>
      </c>
      <c r="W96" s="101">
        <f t="shared" si="53"/>
        <v>13.60192718115055</v>
      </c>
      <c r="X96" s="101"/>
      <c r="Y96" s="101"/>
      <c r="Z96" s="101"/>
      <c r="AA96" s="101"/>
      <c r="AB96" s="101"/>
      <c r="AC96" s="101"/>
      <c r="AD96" s="101"/>
      <c r="AE96" s="101"/>
      <c r="AF96" s="89">
        <v>29.8</v>
      </c>
      <c r="AG96" s="89">
        <v>0.2</v>
      </c>
      <c r="AH96" s="89">
        <v>26.8</v>
      </c>
      <c r="AI96" s="89">
        <v>528</v>
      </c>
      <c r="AJ96" s="103">
        <f t="shared" si="46"/>
        <v>94.7</v>
      </c>
    </row>
    <row r="97" spans="1:36" x14ac:dyDescent="0.25">
      <c r="A97" s="94">
        <v>44328</v>
      </c>
      <c r="B97" s="89">
        <v>42</v>
      </c>
      <c r="C97" s="89">
        <v>19.399999999999999</v>
      </c>
      <c r="D97" s="89">
        <v>773.35</v>
      </c>
      <c r="E97" s="89">
        <v>9920</v>
      </c>
      <c r="F97" s="89">
        <v>9927</v>
      </c>
      <c r="G97" s="89">
        <f t="shared" si="47"/>
        <v>7</v>
      </c>
      <c r="H97" s="89">
        <f t="shared" si="42"/>
        <v>3.5</v>
      </c>
      <c r="I97" s="89">
        <f t="shared" ref="I97:I148" si="55">(I96+G97)+(F97-E97)</f>
        <v>94</v>
      </c>
      <c r="J97" s="89">
        <f t="shared" si="50"/>
        <v>94000</v>
      </c>
      <c r="K97" s="101">
        <f t="shared" si="51"/>
        <v>89308.224122732063</v>
      </c>
      <c r="L97" s="101">
        <f t="shared" si="52"/>
        <v>89.308224122732057</v>
      </c>
      <c r="M97" s="101"/>
      <c r="N97" s="101"/>
      <c r="O97" s="101"/>
      <c r="P97" s="101"/>
      <c r="Q97" s="101"/>
      <c r="R97" s="101"/>
      <c r="S97" s="89">
        <v>36.1</v>
      </c>
      <c r="T97" s="89">
        <f t="shared" si="43"/>
        <v>2527</v>
      </c>
      <c r="U97" s="89">
        <f t="shared" si="49"/>
        <v>16787</v>
      </c>
      <c r="V97" s="101">
        <f t="shared" si="44"/>
        <v>15949.118705833012</v>
      </c>
      <c r="W97" s="101">
        <f t="shared" si="53"/>
        <v>15.949118705833012</v>
      </c>
      <c r="X97" s="101"/>
      <c r="Y97" s="101"/>
      <c r="Z97" s="101"/>
      <c r="AA97" s="101"/>
      <c r="AB97" s="101"/>
      <c r="AC97" s="101"/>
      <c r="AD97" s="101"/>
      <c r="AE97" s="101"/>
      <c r="AF97" s="89">
        <v>29.8</v>
      </c>
      <c r="AG97" s="89">
        <v>0.2</v>
      </c>
      <c r="AH97" s="89">
        <v>28.1</v>
      </c>
      <c r="AI97" s="89">
        <v>525</v>
      </c>
      <c r="AJ97" s="103">
        <f t="shared" si="46"/>
        <v>94.200000000000017</v>
      </c>
    </row>
    <row r="98" spans="1:36" x14ac:dyDescent="0.25">
      <c r="A98" s="94">
        <v>44330</v>
      </c>
      <c r="B98" s="89">
        <v>44</v>
      </c>
      <c r="C98" s="89">
        <v>19.2</v>
      </c>
      <c r="D98" s="89">
        <v>770.35</v>
      </c>
      <c r="E98" s="89">
        <v>9927</v>
      </c>
      <c r="F98" s="89">
        <v>9935</v>
      </c>
      <c r="G98" s="89">
        <f t="shared" si="47"/>
        <v>8</v>
      </c>
      <c r="H98" s="89">
        <f t="shared" si="42"/>
        <v>4</v>
      </c>
      <c r="I98" s="89">
        <f t="shared" si="55"/>
        <v>110</v>
      </c>
      <c r="J98" s="89">
        <f t="shared" si="50"/>
        <v>110000</v>
      </c>
      <c r="K98" s="101">
        <f t="shared" si="51"/>
        <v>104175.42633199213</v>
      </c>
      <c r="L98" s="101">
        <f t="shared" si="52"/>
        <v>104.17542633199213</v>
      </c>
      <c r="M98" s="101"/>
      <c r="N98" s="101"/>
      <c r="O98" s="101"/>
      <c r="P98" s="101"/>
      <c r="Q98" s="101"/>
      <c r="R98" s="101"/>
      <c r="S98" s="89">
        <v>31.2</v>
      </c>
      <c r="T98" s="89">
        <f t="shared" si="43"/>
        <v>2496</v>
      </c>
      <c r="U98" s="89">
        <f t="shared" si="49"/>
        <v>19283</v>
      </c>
      <c r="V98" s="101">
        <f t="shared" si="44"/>
        <v>18261.952235998218</v>
      </c>
      <c r="W98" s="101">
        <f t="shared" si="53"/>
        <v>18.261952235998219</v>
      </c>
      <c r="X98" s="101"/>
      <c r="Y98" s="101"/>
      <c r="Z98" s="101"/>
      <c r="AA98" s="101"/>
      <c r="AB98" s="101"/>
      <c r="AC98" s="101"/>
      <c r="AD98" s="101"/>
      <c r="AE98" s="101"/>
      <c r="AF98" s="89">
        <v>30.2</v>
      </c>
      <c r="AG98" s="89">
        <v>0.1</v>
      </c>
      <c r="AH98" s="89">
        <v>31</v>
      </c>
      <c r="AI98" s="89">
        <v>584</v>
      </c>
      <c r="AJ98" s="103">
        <f t="shared" si="46"/>
        <v>92.5</v>
      </c>
    </row>
    <row r="99" spans="1:36" x14ac:dyDescent="0.25">
      <c r="A99" s="94">
        <v>44333</v>
      </c>
      <c r="B99" s="89">
        <v>47</v>
      </c>
      <c r="C99" s="89">
        <v>18</v>
      </c>
      <c r="D99" s="89">
        <v>769.6</v>
      </c>
      <c r="E99" s="89">
        <v>9935</v>
      </c>
      <c r="F99" s="89">
        <v>9943</v>
      </c>
      <c r="G99" s="89">
        <f t="shared" si="47"/>
        <v>8</v>
      </c>
      <c r="H99" s="89">
        <f t="shared" si="42"/>
        <v>4</v>
      </c>
      <c r="I99" s="89">
        <f t="shared" si="55"/>
        <v>126</v>
      </c>
      <c r="J99" s="89">
        <f t="shared" si="50"/>
        <v>126000</v>
      </c>
      <c r="K99" s="101">
        <f t="shared" si="51"/>
        <v>119703.38241275522</v>
      </c>
      <c r="L99" s="101">
        <f t="shared" si="52"/>
        <v>119.70338241275522</v>
      </c>
      <c r="M99" s="101"/>
      <c r="N99" s="101"/>
      <c r="O99" s="101"/>
      <c r="P99" s="101"/>
      <c r="Q99" s="101"/>
      <c r="R99" s="101"/>
      <c r="S99" s="89">
        <v>28.2</v>
      </c>
      <c r="T99" s="89">
        <f t="shared" si="43"/>
        <v>2256</v>
      </c>
      <c r="U99" s="89">
        <f t="shared" si="49"/>
        <v>21539</v>
      </c>
      <c r="V99" s="101">
        <f t="shared" si="44"/>
        <v>20462.628204669327</v>
      </c>
      <c r="W99" s="101">
        <f t="shared" si="53"/>
        <v>20.462628204669326</v>
      </c>
      <c r="X99" s="101"/>
      <c r="Y99" s="101"/>
      <c r="Z99" s="101"/>
      <c r="AA99" s="101"/>
      <c r="AB99" s="101"/>
      <c r="AC99" s="101"/>
      <c r="AD99" s="101"/>
      <c r="AE99" s="101"/>
      <c r="AF99" s="89">
        <v>30.6</v>
      </c>
      <c r="AG99" s="89">
        <v>0.2</v>
      </c>
      <c r="AH99" s="89">
        <v>39.200000000000003</v>
      </c>
      <c r="AI99" s="89">
        <v>612</v>
      </c>
      <c r="AJ99" s="103">
        <f t="shared" si="46"/>
        <v>98.2</v>
      </c>
    </row>
    <row r="100" spans="1:36" x14ac:dyDescent="0.25">
      <c r="A100" s="94">
        <v>44335</v>
      </c>
      <c r="B100" s="89">
        <v>49</v>
      </c>
      <c r="C100" s="89">
        <v>19.3</v>
      </c>
      <c r="D100" s="89">
        <v>769.6</v>
      </c>
      <c r="E100" s="89">
        <v>9943</v>
      </c>
      <c r="F100" s="89">
        <v>9952</v>
      </c>
      <c r="G100" s="89">
        <f t="shared" si="47"/>
        <v>9</v>
      </c>
      <c r="H100" s="89">
        <f t="shared" si="42"/>
        <v>4.5</v>
      </c>
      <c r="I100" s="89">
        <f t="shared" si="55"/>
        <v>144</v>
      </c>
      <c r="J100" s="89">
        <f t="shared" si="50"/>
        <v>144000</v>
      </c>
      <c r="K100" s="101">
        <f t="shared" si="51"/>
        <v>136195.74448173775</v>
      </c>
      <c r="L100" s="101">
        <f t="shared" si="52"/>
        <v>136.19574448173776</v>
      </c>
      <c r="M100" s="101"/>
      <c r="N100" s="101"/>
      <c r="O100" s="101"/>
      <c r="P100" s="101"/>
      <c r="Q100" s="101"/>
      <c r="R100" s="101"/>
      <c r="S100" s="89">
        <v>18.2</v>
      </c>
      <c r="T100" s="89">
        <f t="shared" si="43"/>
        <v>1637.9999999999998</v>
      </c>
      <c r="U100" s="89">
        <f t="shared" si="49"/>
        <v>23177</v>
      </c>
      <c r="V100" s="101">
        <f t="shared" si="44"/>
        <v>21920.894235091913</v>
      </c>
      <c r="W100" s="101">
        <f t="shared" si="53"/>
        <v>21.920894235091914</v>
      </c>
      <c r="X100" s="101"/>
      <c r="Y100" s="101"/>
      <c r="Z100" s="101"/>
      <c r="AA100" s="101"/>
      <c r="AB100" s="101"/>
      <c r="AC100" s="101"/>
      <c r="AD100" s="101"/>
      <c r="AE100" s="101"/>
      <c r="AF100" s="89">
        <v>30.6</v>
      </c>
      <c r="AG100" s="89">
        <v>0.2</v>
      </c>
      <c r="AH100" s="89">
        <v>39.200000000000003</v>
      </c>
      <c r="AI100" s="89">
        <v>612</v>
      </c>
      <c r="AJ100" s="103">
        <f t="shared" si="46"/>
        <v>88.2</v>
      </c>
    </row>
    <row r="101" spans="1:36" x14ac:dyDescent="0.25">
      <c r="A101" s="94">
        <v>44337</v>
      </c>
      <c r="B101" s="89">
        <v>51</v>
      </c>
      <c r="C101" s="89">
        <v>15.6</v>
      </c>
      <c r="D101" s="89">
        <v>769.6</v>
      </c>
      <c r="E101" s="89">
        <v>9952</v>
      </c>
      <c r="F101" s="89">
        <v>9960</v>
      </c>
      <c r="G101" s="89">
        <f t="shared" si="47"/>
        <v>8</v>
      </c>
      <c r="H101" s="89">
        <f t="shared" si="42"/>
        <v>4</v>
      </c>
      <c r="I101" s="89">
        <f t="shared" si="55"/>
        <v>160</v>
      </c>
      <c r="J101" s="89">
        <f t="shared" si="50"/>
        <v>160000</v>
      </c>
      <c r="K101" s="101">
        <f t="shared" si="51"/>
        <v>153267.70745044429</v>
      </c>
      <c r="L101" s="101">
        <f t="shared" si="52"/>
        <v>153.26770745044428</v>
      </c>
      <c r="M101" s="101"/>
      <c r="N101" s="101"/>
      <c r="O101" s="101"/>
      <c r="P101" s="101"/>
      <c r="Q101" s="101"/>
      <c r="R101" s="101"/>
      <c r="S101" s="89">
        <v>17.8</v>
      </c>
      <c r="T101" s="89">
        <f t="shared" si="43"/>
        <v>1424</v>
      </c>
      <c r="U101" s="89">
        <f t="shared" si="49"/>
        <v>24601</v>
      </c>
      <c r="V101" s="101">
        <f t="shared" si="44"/>
        <v>23565.867943677375</v>
      </c>
      <c r="W101" s="101">
        <f t="shared" si="53"/>
        <v>23.565867943677375</v>
      </c>
      <c r="X101" s="101"/>
      <c r="Y101" s="101"/>
      <c r="Z101" s="101"/>
      <c r="AA101" s="101"/>
      <c r="AB101" s="101"/>
      <c r="AC101" s="101"/>
      <c r="AD101" s="101"/>
      <c r="AE101" s="101"/>
      <c r="AF101" s="89">
        <v>31.2</v>
      </c>
      <c r="AG101" s="89">
        <v>0.1</v>
      </c>
      <c r="AH101" s="89">
        <v>40.9</v>
      </c>
      <c r="AI101" s="89">
        <v>706</v>
      </c>
      <c r="AJ101" s="103">
        <f t="shared" si="46"/>
        <v>90</v>
      </c>
    </row>
    <row r="102" spans="1:36" x14ac:dyDescent="0.25">
      <c r="A102" s="106">
        <v>44340</v>
      </c>
      <c r="B102" s="89">
        <v>54</v>
      </c>
      <c r="C102" s="89">
        <v>17.399999999999999</v>
      </c>
      <c r="D102" s="89">
        <v>768.1</v>
      </c>
      <c r="E102" s="89">
        <v>9990</v>
      </c>
      <c r="F102" s="89">
        <v>9998</v>
      </c>
      <c r="G102" s="89">
        <f t="shared" si="47"/>
        <v>8</v>
      </c>
      <c r="H102" s="89">
        <f t="shared" si="42"/>
        <v>4</v>
      </c>
      <c r="I102" s="89">
        <f t="shared" si="55"/>
        <v>176</v>
      </c>
      <c r="J102" s="89">
        <f t="shared" si="50"/>
        <v>176000</v>
      </c>
      <c r="K102" s="101">
        <f t="shared" si="51"/>
        <v>167223.44482786729</v>
      </c>
      <c r="L102" s="101">
        <f t="shared" si="52"/>
        <v>167.2234448278673</v>
      </c>
      <c r="M102" s="101"/>
      <c r="N102" s="101"/>
      <c r="O102" s="101"/>
      <c r="P102" s="101"/>
      <c r="Q102" s="101"/>
      <c r="R102" s="101"/>
      <c r="S102" s="89">
        <v>74.2</v>
      </c>
      <c r="T102" s="89">
        <f t="shared" si="43"/>
        <v>5936</v>
      </c>
      <c r="U102" s="89">
        <f t="shared" si="49"/>
        <v>30537</v>
      </c>
      <c r="V102" s="101">
        <f t="shared" si="44"/>
        <v>29014.217810844224</v>
      </c>
      <c r="W102" s="101">
        <f t="shared" si="53"/>
        <v>29.014217810844222</v>
      </c>
      <c r="X102" s="101"/>
      <c r="Y102" s="101"/>
      <c r="Z102" s="101"/>
      <c r="AA102" s="101"/>
      <c r="AB102" s="101"/>
      <c r="AC102" s="101"/>
      <c r="AD102" s="101"/>
      <c r="AE102" s="101"/>
      <c r="AF102" s="89">
        <v>31.5</v>
      </c>
      <c r="AG102" s="89">
        <v>0.2</v>
      </c>
      <c r="AH102" s="89">
        <v>39.799999999999997</v>
      </c>
      <c r="AI102" s="89">
        <v>670</v>
      </c>
      <c r="AJ102" s="103">
        <f t="shared" si="46"/>
        <v>145.69999999999999</v>
      </c>
    </row>
    <row r="103" spans="1:36" x14ac:dyDescent="0.25">
      <c r="A103" s="94">
        <v>44342</v>
      </c>
      <c r="B103" s="89">
        <v>56</v>
      </c>
      <c r="C103" s="89">
        <v>19.3</v>
      </c>
      <c r="D103" s="89">
        <v>768.85</v>
      </c>
      <c r="E103" s="89">
        <v>9998</v>
      </c>
      <c r="F103" s="89">
        <v>10005</v>
      </c>
      <c r="G103" s="89">
        <f t="shared" si="47"/>
        <v>7</v>
      </c>
      <c r="H103" s="89">
        <f t="shared" si="42"/>
        <v>3.5</v>
      </c>
      <c r="I103" s="89">
        <f t="shared" si="55"/>
        <v>190</v>
      </c>
      <c r="J103" s="89">
        <f t="shared" si="50"/>
        <v>190000</v>
      </c>
      <c r="K103" s="101">
        <f t="shared" si="51"/>
        <v>179527.59232347406</v>
      </c>
      <c r="L103" s="101">
        <f t="shared" si="52"/>
        <v>179.52759232347407</v>
      </c>
      <c r="M103" s="101"/>
      <c r="N103" s="101"/>
      <c r="O103" s="101"/>
      <c r="P103" s="101"/>
      <c r="Q103" s="101"/>
      <c r="R103" s="101"/>
      <c r="S103" s="89">
        <v>68.599999999999994</v>
      </c>
      <c r="T103" s="89">
        <f t="shared" si="43"/>
        <v>4801.9999999999991</v>
      </c>
      <c r="U103" s="89">
        <f t="shared" si="49"/>
        <v>35339</v>
      </c>
      <c r="V103" s="101">
        <f t="shared" si="44"/>
        <v>33391.187290101327</v>
      </c>
      <c r="W103" s="101">
        <f t="shared" si="53"/>
        <v>33.391187290101328</v>
      </c>
      <c r="X103" s="101"/>
      <c r="Y103" s="101"/>
      <c r="Z103" s="101"/>
      <c r="AA103" s="101"/>
      <c r="AB103" s="101"/>
      <c r="AC103" s="101"/>
      <c r="AD103" s="101"/>
      <c r="AE103" s="101"/>
      <c r="AF103" s="89">
        <v>30.6</v>
      </c>
      <c r="AG103" s="89">
        <v>0.6</v>
      </c>
      <c r="AH103" s="89">
        <v>40.5</v>
      </c>
      <c r="AI103" s="89">
        <v>485</v>
      </c>
      <c r="AJ103" s="103">
        <f t="shared" si="46"/>
        <v>140.29999999999998</v>
      </c>
    </row>
    <row r="104" spans="1:36" x14ac:dyDescent="0.25">
      <c r="A104" s="94">
        <v>44344</v>
      </c>
      <c r="B104" s="89">
        <v>58</v>
      </c>
      <c r="C104" s="89">
        <v>20.3</v>
      </c>
      <c r="D104" s="89">
        <v>769.6</v>
      </c>
      <c r="E104" s="89">
        <v>10005</v>
      </c>
      <c r="F104" s="89">
        <v>10011</v>
      </c>
      <c r="G104" s="89">
        <f t="shared" si="47"/>
        <v>6</v>
      </c>
      <c r="H104" s="89">
        <f t="shared" si="42"/>
        <v>3</v>
      </c>
      <c r="I104" s="89">
        <f t="shared" si="55"/>
        <v>202</v>
      </c>
      <c r="J104" s="89">
        <f t="shared" si="50"/>
        <v>202000</v>
      </c>
      <c r="K104" s="101">
        <f t="shared" si="51"/>
        <v>190401.30785303691</v>
      </c>
      <c r="L104" s="101">
        <f t="shared" si="52"/>
        <v>190.40130785303691</v>
      </c>
      <c r="M104" s="101"/>
      <c r="N104" s="101"/>
      <c r="O104" s="101"/>
      <c r="P104" s="101"/>
      <c r="Q104" s="101"/>
      <c r="R104" s="101"/>
      <c r="S104" s="89">
        <v>69.099999999999994</v>
      </c>
      <c r="T104" s="89">
        <f t="shared" si="43"/>
        <v>4146</v>
      </c>
      <c r="U104" s="89">
        <f t="shared" si="49"/>
        <v>39485</v>
      </c>
      <c r="V104" s="101">
        <f t="shared" si="44"/>
        <v>37217.800200877042</v>
      </c>
      <c r="W104" s="101">
        <f t="shared" si="53"/>
        <v>37.217800200877043</v>
      </c>
      <c r="X104" s="101"/>
      <c r="Y104" s="101"/>
      <c r="Z104" s="101"/>
      <c r="AA104" s="101"/>
      <c r="AB104" s="101"/>
      <c r="AC104" s="101"/>
      <c r="AD104" s="101"/>
      <c r="AE104" s="101"/>
      <c r="AF104" s="89">
        <v>30.5</v>
      </c>
      <c r="AG104" s="89">
        <v>0.5</v>
      </c>
      <c r="AH104" s="89">
        <v>43.2</v>
      </c>
      <c r="AI104" s="89">
        <v>451</v>
      </c>
      <c r="AJ104" s="103">
        <f t="shared" si="46"/>
        <v>143.30000000000001</v>
      </c>
    </row>
    <row r="105" spans="1:36" x14ac:dyDescent="0.25">
      <c r="A105" s="94">
        <v>44347</v>
      </c>
      <c r="B105" s="89">
        <v>61</v>
      </c>
      <c r="C105" s="89">
        <v>20.7</v>
      </c>
      <c r="D105" s="89">
        <v>769.6</v>
      </c>
      <c r="E105" s="89">
        <v>10011</v>
      </c>
      <c r="F105" s="89">
        <v>10020</v>
      </c>
      <c r="G105" s="89">
        <f t="shared" si="47"/>
        <v>9</v>
      </c>
      <c r="H105" s="89">
        <f t="shared" si="42"/>
        <v>4.5</v>
      </c>
      <c r="I105" s="89">
        <f t="shared" si="55"/>
        <v>220</v>
      </c>
      <c r="J105" s="89">
        <f t="shared" si="50"/>
        <v>220000</v>
      </c>
      <c r="K105" s="101">
        <f t="shared" si="51"/>
        <v>207085.4840009672</v>
      </c>
      <c r="L105" s="101">
        <f t="shared" si="52"/>
        <v>207.0854840009672</v>
      </c>
      <c r="M105" s="101"/>
      <c r="N105" s="101"/>
      <c r="O105" s="101"/>
      <c r="P105" s="101"/>
      <c r="Q105" s="101"/>
      <c r="R105" s="101"/>
      <c r="S105" s="89">
        <v>68.400000000000006</v>
      </c>
      <c r="T105" s="89">
        <f t="shared" si="43"/>
        <v>6156</v>
      </c>
      <c r="U105" s="89">
        <f t="shared" si="49"/>
        <v>45641</v>
      </c>
      <c r="V105" s="101">
        <f t="shared" si="44"/>
        <v>42961.766251309746</v>
      </c>
      <c r="W105" s="101">
        <f t="shared" si="53"/>
        <v>42.961766251309747</v>
      </c>
      <c r="X105" s="101"/>
      <c r="Y105" s="101"/>
      <c r="Z105" s="101"/>
      <c r="AA105" s="101"/>
      <c r="AB105" s="101"/>
      <c r="AC105" s="101"/>
      <c r="AD105" s="101"/>
      <c r="AE105" s="101"/>
      <c r="AF105" s="89">
        <v>30.2</v>
      </c>
      <c r="AG105" s="89">
        <v>0.3</v>
      </c>
      <c r="AH105" s="89">
        <v>42.6</v>
      </c>
      <c r="AI105" s="89">
        <v>632</v>
      </c>
      <c r="AJ105" s="103">
        <f t="shared" si="46"/>
        <v>141.5</v>
      </c>
    </row>
    <row r="106" spans="1:36" x14ac:dyDescent="0.25">
      <c r="A106" s="104">
        <v>44349</v>
      </c>
      <c r="B106" s="89">
        <v>63</v>
      </c>
      <c r="C106" s="89">
        <v>20.5</v>
      </c>
      <c r="D106" s="89">
        <v>771.1</v>
      </c>
      <c r="E106" s="89">
        <v>10020</v>
      </c>
      <c r="F106" s="89">
        <v>10028</v>
      </c>
      <c r="G106" s="89">
        <f t="shared" si="47"/>
        <v>8</v>
      </c>
      <c r="H106" s="89">
        <f t="shared" si="42"/>
        <v>4</v>
      </c>
      <c r="I106" s="89">
        <f t="shared" si="55"/>
        <v>236</v>
      </c>
      <c r="J106" s="89">
        <f t="shared" si="50"/>
        <v>236000</v>
      </c>
      <c r="K106" s="101">
        <f t="shared" si="51"/>
        <v>222730.81873336501</v>
      </c>
      <c r="L106" s="101">
        <f t="shared" si="52"/>
        <v>222.73081873336503</v>
      </c>
      <c r="M106" s="101"/>
      <c r="N106" s="101"/>
      <c r="O106" s="101"/>
      <c r="P106" s="101"/>
      <c r="Q106" s="101"/>
      <c r="R106" s="101"/>
      <c r="S106" s="89">
        <v>64.900000000000006</v>
      </c>
      <c r="T106" s="89">
        <f t="shared" si="43"/>
        <v>5192</v>
      </c>
      <c r="U106" s="89">
        <f t="shared" si="49"/>
        <v>50833</v>
      </c>
      <c r="V106" s="101">
        <f t="shared" si="44"/>
        <v>47974.89707064892</v>
      </c>
      <c r="W106" s="101">
        <f t="shared" si="53"/>
        <v>47.974897070648922</v>
      </c>
      <c r="X106" s="101"/>
      <c r="Y106" s="101"/>
      <c r="Z106" s="101"/>
      <c r="AA106" s="101"/>
      <c r="AB106" s="101"/>
      <c r="AC106" s="101"/>
      <c r="AD106" s="101"/>
      <c r="AE106" s="101"/>
      <c r="AF106" s="89">
        <v>30.2</v>
      </c>
      <c r="AG106" s="89">
        <v>0.3</v>
      </c>
      <c r="AH106" s="89">
        <v>42.6</v>
      </c>
      <c r="AI106" s="89">
        <v>632</v>
      </c>
      <c r="AJ106" s="103">
        <f t="shared" si="46"/>
        <v>138</v>
      </c>
    </row>
    <row r="107" spans="1:36" x14ac:dyDescent="0.25">
      <c r="A107" s="104">
        <v>44351</v>
      </c>
      <c r="B107" s="89">
        <v>65</v>
      </c>
      <c r="C107" s="89">
        <v>16.600000000000001</v>
      </c>
      <c r="D107" s="89">
        <v>768.1</v>
      </c>
      <c r="E107" s="89">
        <v>10028</v>
      </c>
      <c r="F107" s="89">
        <v>10036</v>
      </c>
      <c r="G107" s="89">
        <f t="shared" si="47"/>
        <v>8</v>
      </c>
      <c r="H107" s="89">
        <f t="shared" si="42"/>
        <v>4</v>
      </c>
      <c r="I107" s="89">
        <f t="shared" si="55"/>
        <v>252</v>
      </c>
      <c r="J107" s="89">
        <f t="shared" si="50"/>
        <v>252000</v>
      </c>
      <c r="K107" s="101">
        <f t="shared" si="51"/>
        <v>240094.64502066208</v>
      </c>
      <c r="L107" s="101">
        <f t="shared" si="52"/>
        <v>240.09464502066209</v>
      </c>
      <c r="M107" s="101"/>
      <c r="N107" s="101"/>
      <c r="O107" s="101"/>
      <c r="P107" s="101"/>
      <c r="Q107" s="101"/>
      <c r="R107" s="101"/>
      <c r="S107" s="89">
        <v>67.099999999999994</v>
      </c>
      <c r="T107" s="89">
        <f t="shared" si="43"/>
        <v>5368</v>
      </c>
      <c r="U107" s="89">
        <f t="shared" si="49"/>
        <v>56201</v>
      </c>
      <c r="V107" s="101">
        <f t="shared" si="44"/>
        <v>53545.869622246944</v>
      </c>
      <c r="W107" s="101">
        <f t="shared" si="53"/>
        <v>53.545869622246947</v>
      </c>
      <c r="X107" s="101"/>
      <c r="Y107" s="101"/>
      <c r="Z107" s="101"/>
      <c r="AA107" s="101"/>
      <c r="AB107" s="101"/>
      <c r="AC107" s="101"/>
      <c r="AD107" s="101"/>
      <c r="AE107" s="101"/>
      <c r="AF107" s="89">
        <v>30.6</v>
      </c>
      <c r="AG107" s="89">
        <v>0.1</v>
      </c>
      <c r="AH107" s="89">
        <v>42.4</v>
      </c>
      <c r="AI107" s="89">
        <v>686</v>
      </c>
      <c r="AJ107" s="103">
        <f t="shared" si="46"/>
        <v>140.19999999999999</v>
      </c>
    </row>
    <row r="108" spans="1:36" x14ac:dyDescent="0.25">
      <c r="A108" s="104">
        <v>44354</v>
      </c>
      <c r="B108" s="89">
        <v>68</v>
      </c>
      <c r="C108" s="89">
        <v>18.100000000000001</v>
      </c>
      <c r="D108" s="89">
        <v>771.98</v>
      </c>
      <c r="E108" s="89">
        <v>10036</v>
      </c>
      <c r="F108" s="89">
        <v>10045</v>
      </c>
      <c r="G108" s="89">
        <f>(F108-E108)</f>
        <v>9</v>
      </c>
      <c r="H108" s="89">
        <f t="shared" si="42"/>
        <v>4.5</v>
      </c>
      <c r="I108" s="89">
        <f t="shared" si="55"/>
        <v>270</v>
      </c>
      <c r="J108" s="89">
        <f t="shared" si="50"/>
        <v>270000</v>
      </c>
      <c r="K108" s="101">
        <f t="shared" si="51"/>
        <v>257212.15717189969</v>
      </c>
      <c r="L108" s="101">
        <f t="shared" si="52"/>
        <v>257.21215717189966</v>
      </c>
      <c r="M108" s="101"/>
      <c r="N108" s="101"/>
      <c r="O108" s="101"/>
      <c r="P108" s="101"/>
      <c r="Q108" s="101"/>
      <c r="R108" s="101"/>
      <c r="S108" s="89">
        <v>67.5</v>
      </c>
      <c r="T108" s="89">
        <f t="shared" si="43"/>
        <v>6075</v>
      </c>
      <c r="U108" s="89">
        <f t="shared" si="49"/>
        <v>62276</v>
      </c>
      <c r="V108" s="101">
        <f t="shared" si="44"/>
        <v>59326.460370508248</v>
      </c>
      <c r="W108" s="101">
        <f t="shared" si="53"/>
        <v>59.326460370508251</v>
      </c>
      <c r="X108" s="101"/>
      <c r="Y108" s="101"/>
      <c r="Z108" s="101"/>
      <c r="AA108" s="101"/>
      <c r="AB108" s="101"/>
      <c r="AC108" s="101"/>
      <c r="AD108" s="101"/>
      <c r="AE108" s="101"/>
      <c r="AF108" s="89">
        <v>30.3</v>
      </c>
      <c r="AG108" s="89">
        <v>0.2</v>
      </c>
      <c r="AH108" s="89">
        <v>40.9</v>
      </c>
      <c r="AI108" s="89">
        <v>707</v>
      </c>
      <c r="AJ108" s="103">
        <f t="shared" si="46"/>
        <v>138.9</v>
      </c>
    </row>
    <row r="109" spans="1:36" x14ac:dyDescent="0.25">
      <c r="A109" s="104">
        <v>44356</v>
      </c>
      <c r="B109" s="89">
        <v>70</v>
      </c>
      <c r="C109" s="89">
        <v>18.399999999999999</v>
      </c>
      <c r="D109" s="89">
        <v>773.2</v>
      </c>
      <c r="E109" s="89">
        <v>10081</v>
      </c>
      <c r="F109" s="89">
        <v>10090</v>
      </c>
      <c r="G109" s="89">
        <f t="shared" si="47"/>
        <v>9</v>
      </c>
      <c r="H109" s="89">
        <f t="shared" si="42"/>
        <v>4.5</v>
      </c>
      <c r="I109" s="89">
        <f t="shared" si="55"/>
        <v>288</v>
      </c>
      <c r="J109" s="89">
        <f t="shared" si="50"/>
        <v>288000</v>
      </c>
      <c r="K109" s="101">
        <f>((D109*J109)/((273.15+C109)*760))*273.15</f>
        <v>274510.46150791144</v>
      </c>
      <c r="L109" s="101">
        <f t="shared" si="52"/>
        <v>274.51046150791143</v>
      </c>
      <c r="M109" s="101"/>
      <c r="N109" s="101"/>
      <c r="O109" s="101"/>
      <c r="P109" s="101"/>
      <c r="Q109" s="101"/>
      <c r="R109" s="101"/>
      <c r="S109" s="89">
        <v>66.400000000000006</v>
      </c>
      <c r="T109" s="89">
        <f t="shared" si="43"/>
        <v>5976</v>
      </c>
      <c r="U109" s="89">
        <f t="shared" si="49"/>
        <v>68252</v>
      </c>
      <c r="V109" s="101">
        <f t="shared" si="44"/>
        <v>65055.166732076301</v>
      </c>
      <c r="W109" s="101">
        <f>(V109/1000)</f>
        <v>65.055166732076302</v>
      </c>
      <c r="X109" s="101"/>
      <c r="Y109" s="101"/>
      <c r="Z109" s="101"/>
      <c r="AA109" s="101"/>
      <c r="AB109" s="101"/>
      <c r="AC109" s="101"/>
      <c r="AD109" s="101"/>
      <c r="AE109" s="101"/>
      <c r="AF109" s="89">
        <v>29.5</v>
      </c>
      <c r="AG109" s="89">
        <v>0.2</v>
      </c>
      <c r="AH109" s="89">
        <v>39.1</v>
      </c>
      <c r="AI109" s="89">
        <v>763</v>
      </c>
      <c r="AJ109" s="103">
        <f t="shared" si="46"/>
        <v>135.20000000000002</v>
      </c>
    </row>
    <row r="110" spans="1:36" x14ac:dyDescent="0.25">
      <c r="A110" s="104">
        <v>44358</v>
      </c>
      <c r="B110" s="89">
        <v>72</v>
      </c>
      <c r="C110" s="89">
        <v>18.399999999999999</v>
      </c>
      <c r="D110" s="89">
        <v>773.2</v>
      </c>
      <c r="E110" s="89">
        <v>10090</v>
      </c>
      <c r="F110" s="89">
        <v>10099</v>
      </c>
      <c r="G110" s="89">
        <f t="shared" si="47"/>
        <v>9</v>
      </c>
      <c r="H110" s="89">
        <f t="shared" si="42"/>
        <v>4.5</v>
      </c>
      <c r="I110" s="89">
        <f>(I109+G110)+(F110-E110)</f>
        <v>306</v>
      </c>
      <c r="J110" s="89">
        <f t="shared" si="50"/>
        <v>306000</v>
      </c>
      <c r="K110" s="101">
        <f>((D110*J110)/((273.15+C110)*760))*273.15</f>
        <v>291667.36535215593</v>
      </c>
      <c r="L110" s="101">
        <f t="shared" si="52"/>
        <v>291.66736535215591</v>
      </c>
      <c r="M110" s="101"/>
      <c r="N110" s="101"/>
      <c r="O110" s="101"/>
      <c r="P110" s="101"/>
      <c r="Q110" s="101"/>
      <c r="R110" s="101"/>
      <c r="S110" s="89">
        <v>65.2</v>
      </c>
      <c r="T110" s="89">
        <f t="shared" si="43"/>
        <v>5868.0000000000009</v>
      </c>
      <c r="U110" s="89">
        <f t="shared" si="49"/>
        <v>74120</v>
      </c>
      <c r="V110" s="101">
        <f t="shared" si="44"/>
        <v>70648.31738529999</v>
      </c>
      <c r="W110" s="101">
        <f t="shared" ref="W110:W146" si="56">(V110/1000)</f>
        <v>70.64831738529999</v>
      </c>
      <c r="X110" s="101"/>
      <c r="Y110" s="101"/>
      <c r="Z110" s="101"/>
      <c r="AA110" s="101"/>
      <c r="AB110" s="101"/>
      <c r="AC110" s="101"/>
      <c r="AD110" s="101"/>
      <c r="AE110" s="101"/>
    </row>
    <row r="111" spans="1:36" x14ac:dyDescent="0.25">
      <c r="A111" s="104">
        <v>44361</v>
      </c>
      <c r="B111" s="89">
        <v>75</v>
      </c>
      <c r="C111" s="89">
        <v>18.399999999999999</v>
      </c>
      <c r="D111" s="89">
        <v>773.2</v>
      </c>
      <c r="E111" s="89">
        <v>10099</v>
      </c>
      <c r="F111" s="89">
        <v>10107</v>
      </c>
      <c r="G111" s="89">
        <f t="shared" si="47"/>
        <v>8</v>
      </c>
      <c r="H111" s="89">
        <f t="shared" ref="H111:H148" si="57">(G111/2)</f>
        <v>4</v>
      </c>
      <c r="I111" s="89">
        <f t="shared" si="55"/>
        <v>322</v>
      </c>
      <c r="J111" s="89">
        <f t="shared" si="50"/>
        <v>322000</v>
      </c>
      <c r="K111" s="101">
        <f t="shared" ref="K111:K124" si="58">((D111*J111)/((273.15+C111)*760))*273.15</f>
        <v>306917.9465470399</v>
      </c>
      <c r="L111" s="101">
        <f t="shared" si="52"/>
        <v>306.91794654703989</v>
      </c>
      <c r="M111" s="101"/>
      <c r="N111" s="101"/>
      <c r="O111" s="101"/>
      <c r="P111" s="101"/>
      <c r="Q111" s="101"/>
      <c r="R111" s="101"/>
      <c r="S111" s="89">
        <v>69.8</v>
      </c>
      <c r="T111" s="89">
        <f t="shared" ref="T111:T142" si="59">(G111*S111)*10</f>
        <v>5584</v>
      </c>
      <c r="U111" s="89">
        <f t="shared" si="49"/>
        <v>79704</v>
      </c>
      <c r="V111" s="101">
        <f t="shared" ref="V111:V142" si="60">((D111*U111)/((273.15+C111)*760))*273.15</f>
        <v>75970.770222314502</v>
      </c>
      <c r="W111" s="101">
        <f t="shared" si="56"/>
        <v>75.970770222314499</v>
      </c>
      <c r="X111" s="101"/>
      <c r="Y111" s="101"/>
      <c r="Z111" s="101"/>
      <c r="AA111" s="101"/>
      <c r="AB111" s="101"/>
      <c r="AC111" s="101"/>
      <c r="AD111" s="101"/>
      <c r="AE111" s="101"/>
    </row>
    <row r="112" spans="1:36" x14ac:dyDescent="0.25">
      <c r="A112" s="104">
        <v>44363</v>
      </c>
      <c r="B112" s="89">
        <v>77</v>
      </c>
      <c r="C112" s="89">
        <v>18.399999999999999</v>
      </c>
      <c r="D112" s="89">
        <v>773.2</v>
      </c>
      <c r="E112" s="89">
        <v>10107</v>
      </c>
      <c r="F112" s="89">
        <v>10116</v>
      </c>
      <c r="G112" s="89">
        <f t="shared" si="47"/>
        <v>9</v>
      </c>
      <c r="H112" s="89">
        <f t="shared" si="57"/>
        <v>4.5</v>
      </c>
      <c r="I112" s="89">
        <f t="shared" si="55"/>
        <v>340</v>
      </c>
      <c r="J112" s="89">
        <f t="shared" si="50"/>
        <v>340000</v>
      </c>
      <c r="K112" s="101">
        <f t="shared" si="58"/>
        <v>324074.85039128433</v>
      </c>
      <c r="L112" s="101">
        <f t="shared" si="52"/>
        <v>324.07485039128431</v>
      </c>
      <c r="M112" s="101"/>
      <c r="N112" s="101"/>
      <c r="O112" s="101"/>
      <c r="P112" s="101"/>
      <c r="Q112" s="101"/>
      <c r="R112" s="101"/>
      <c r="S112" s="89">
        <v>66.3</v>
      </c>
      <c r="T112" s="89">
        <f t="shared" si="59"/>
        <v>5966.9999999999991</v>
      </c>
      <c r="U112" s="89">
        <f t="shared" si="49"/>
        <v>85671</v>
      </c>
      <c r="V112" s="101">
        <f t="shared" si="60"/>
        <v>81658.283846681545</v>
      </c>
      <c r="W112" s="101">
        <f t="shared" si="56"/>
        <v>81.658283846681542</v>
      </c>
      <c r="X112" s="101"/>
      <c r="Y112" s="101"/>
      <c r="Z112" s="101"/>
      <c r="AA112" s="101"/>
      <c r="AB112" s="101"/>
      <c r="AC112" s="101"/>
      <c r="AD112" s="101"/>
      <c r="AE112" s="101"/>
    </row>
    <row r="113" spans="1:33" x14ac:dyDescent="0.25">
      <c r="A113" s="104">
        <v>44365</v>
      </c>
      <c r="B113" s="89">
        <v>79</v>
      </c>
      <c r="C113" s="89">
        <v>18.399999999999999</v>
      </c>
      <c r="D113" s="89">
        <v>773.2</v>
      </c>
      <c r="E113" s="89">
        <v>10116</v>
      </c>
      <c r="F113" s="89">
        <v>10127</v>
      </c>
      <c r="G113" s="89">
        <f t="shared" si="47"/>
        <v>11</v>
      </c>
      <c r="H113" s="89">
        <f t="shared" si="57"/>
        <v>5.5</v>
      </c>
      <c r="I113" s="89">
        <f t="shared" si="55"/>
        <v>362</v>
      </c>
      <c r="J113" s="89">
        <f t="shared" si="50"/>
        <v>362000</v>
      </c>
      <c r="K113" s="101">
        <f t="shared" si="58"/>
        <v>345044.39953424979</v>
      </c>
      <c r="L113" s="101">
        <f t="shared" si="52"/>
        <v>345.04439953424981</v>
      </c>
      <c r="M113" s="101"/>
      <c r="N113" s="101"/>
      <c r="O113" s="101"/>
      <c r="P113" s="101"/>
      <c r="Q113" s="101"/>
      <c r="R113" s="101"/>
      <c r="S113" s="89">
        <v>68.099999999999994</v>
      </c>
      <c r="T113" s="89">
        <f t="shared" si="59"/>
        <v>7490.9999999999991</v>
      </c>
      <c r="U113" s="89">
        <f t="shared" si="49"/>
        <v>93162</v>
      </c>
      <c r="V113" s="101">
        <f t="shared" si="60"/>
        <v>88798.41532986128</v>
      </c>
      <c r="W113" s="101">
        <f t="shared" si="56"/>
        <v>88.798415329861285</v>
      </c>
      <c r="X113" s="101"/>
      <c r="Y113" s="101"/>
      <c r="Z113" s="101"/>
      <c r="AA113" s="101"/>
      <c r="AB113" s="101"/>
      <c r="AC113" s="101"/>
      <c r="AD113" s="101"/>
      <c r="AE113" s="101"/>
    </row>
    <row r="114" spans="1:33" x14ac:dyDescent="0.25">
      <c r="A114" s="104">
        <v>44368</v>
      </c>
      <c r="B114" s="89">
        <v>82</v>
      </c>
      <c r="C114" s="89">
        <v>18.399999999999999</v>
      </c>
      <c r="D114" s="89">
        <v>773.2</v>
      </c>
      <c r="E114" s="89">
        <v>10127</v>
      </c>
      <c r="F114" s="89">
        <v>10137</v>
      </c>
      <c r="G114" s="89">
        <f t="shared" si="47"/>
        <v>10</v>
      </c>
      <c r="H114" s="89">
        <f t="shared" si="57"/>
        <v>5</v>
      </c>
      <c r="I114" s="89">
        <f t="shared" si="55"/>
        <v>382</v>
      </c>
      <c r="J114" s="89">
        <f t="shared" si="50"/>
        <v>382000</v>
      </c>
      <c r="K114" s="101">
        <f t="shared" si="58"/>
        <v>364107.6260278548</v>
      </c>
      <c r="L114" s="101">
        <f t="shared" si="52"/>
        <v>364.10762602785479</v>
      </c>
      <c r="M114" s="101"/>
      <c r="N114" s="101"/>
      <c r="O114" s="101"/>
      <c r="P114" s="101"/>
      <c r="Q114" s="101"/>
      <c r="R114" s="101"/>
      <c r="S114" s="89">
        <v>69.599999999999994</v>
      </c>
      <c r="T114" s="89">
        <f t="shared" si="59"/>
        <v>6960</v>
      </c>
      <c r="U114" s="89">
        <f t="shared" si="49"/>
        <v>100122</v>
      </c>
      <c r="V114" s="101">
        <f t="shared" si="60"/>
        <v>95432.418149635807</v>
      </c>
      <c r="W114" s="101">
        <f t="shared" si="56"/>
        <v>95.432418149635808</v>
      </c>
      <c r="X114" s="101"/>
      <c r="Y114" s="101"/>
      <c r="Z114" s="101"/>
      <c r="AA114" s="101"/>
      <c r="AB114" s="101"/>
      <c r="AC114" s="101"/>
      <c r="AD114" s="101"/>
      <c r="AE114" s="101"/>
    </row>
    <row r="115" spans="1:33" x14ac:dyDescent="0.25">
      <c r="A115" s="104">
        <v>44370</v>
      </c>
      <c r="B115" s="89">
        <v>84</v>
      </c>
      <c r="C115" s="89">
        <v>18.399999999999999</v>
      </c>
      <c r="D115" s="89">
        <v>773.2</v>
      </c>
      <c r="E115" s="89">
        <v>10137</v>
      </c>
      <c r="F115" s="89">
        <v>10144</v>
      </c>
      <c r="G115" s="89">
        <f t="shared" si="47"/>
        <v>7</v>
      </c>
      <c r="H115" s="89">
        <f t="shared" si="57"/>
        <v>3.5</v>
      </c>
      <c r="I115" s="89">
        <f t="shared" si="55"/>
        <v>396</v>
      </c>
      <c r="J115" s="89">
        <f t="shared" si="50"/>
        <v>396000</v>
      </c>
      <c r="K115" s="101">
        <f t="shared" si="58"/>
        <v>377451.88457337819</v>
      </c>
      <c r="L115" s="101">
        <f t="shared" si="52"/>
        <v>377.45188457337821</v>
      </c>
      <c r="M115" s="101"/>
      <c r="N115" s="101"/>
      <c r="O115" s="101"/>
      <c r="P115" s="101"/>
      <c r="Q115" s="101"/>
      <c r="R115" s="101"/>
      <c r="S115" s="89">
        <v>65.599999999999994</v>
      </c>
      <c r="T115" s="89">
        <f t="shared" si="59"/>
        <v>4591.9999999999991</v>
      </c>
      <c r="U115" s="89">
        <f t="shared" si="49"/>
        <v>104714</v>
      </c>
      <c r="V115" s="101">
        <f t="shared" si="60"/>
        <v>99809.334952567515</v>
      </c>
      <c r="W115" s="101">
        <f t="shared" si="56"/>
        <v>99.809334952567511</v>
      </c>
      <c r="X115" s="101"/>
      <c r="Y115" s="101"/>
      <c r="Z115" s="101"/>
      <c r="AA115" s="101"/>
      <c r="AB115" s="101"/>
      <c r="AC115" s="101"/>
      <c r="AD115" s="101"/>
      <c r="AE115" s="101"/>
      <c r="AG115" s="89">
        <f>AVERAGE(S79:S142)</f>
        <v>50.032812499999991</v>
      </c>
    </row>
    <row r="116" spans="1:33" x14ac:dyDescent="0.25">
      <c r="A116" s="104">
        <v>44372</v>
      </c>
      <c r="B116" s="89">
        <v>86</v>
      </c>
      <c r="C116" s="89">
        <v>18.399999999999999</v>
      </c>
      <c r="D116" s="89">
        <v>773.2</v>
      </c>
      <c r="E116" s="89">
        <v>10144</v>
      </c>
      <c r="F116" s="89">
        <v>10150</v>
      </c>
      <c r="G116" s="89">
        <f t="shared" si="47"/>
        <v>6</v>
      </c>
      <c r="H116" s="89">
        <f t="shared" si="57"/>
        <v>3</v>
      </c>
      <c r="I116" s="89">
        <f t="shared" si="55"/>
        <v>408</v>
      </c>
      <c r="J116" s="89">
        <f t="shared" si="50"/>
        <v>408000</v>
      </c>
      <c r="K116" s="101">
        <f t="shared" si="58"/>
        <v>388889.82046954124</v>
      </c>
      <c r="L116" s="101">
        <f t="shared" si="52"/>
        <v>388.88982046954123</v>
      </c>
      <c r="M116" s="101"/>
      <c r="N116" s="101"/>
      <c r="O116" s="101"/>
      <c r="P116" s="101"/>
      <c r="Q116" s="101"/>
      <c r="R116" s="101"/>
      <c r="S116" s="89">
        <v>69.8</v>
      </c>
      <c r="T116" s="89">
        <f t="shared" si="59"/>
        <v>4188</v>
      </c>
      <c r="U116" s="89">
        <f t="shared" si="49"/>
        <v>108902</v>
      </c>
      <c r="V116" s="101">
        <f t="shared" si="60"/>
        <v>103801.17458032838</v>
      </c>
      <c r="W116" s="101">
        <f t="shared" si="56"/>
        <v>103.80117458032838</v>
      </c>
      <c r="X116" s="101"/>
      <c r="Y116" s="101"/>
      <c r="Z116" s="101"/>
      <c r="AA116" s="101"/>
      <c r="AB116" s="101"/>
      <c r="AC116" s="101"/>
      <c r="AD116" s="101"/>
      <c r="AE116" s="101"/>
    </row>
    <row r="117" spans="1:33" x14ac:dyDescent="0.25">
      <c r="A117" s="104">
        <v>44375</v>
      </c>
      <c r="B117" s="89">
        <v>89</v>
      </c>
      <c r="C117" s="89">
        <v>19</v>
      </c>
      <c r="D117" s="89">
        <v>773.2</v>
      </c>
      <c r="E117" s="89">
        <v>10150</v>
      </c>
      <c r="F117" s="89">
        <v>10159</v>
      </c>
      <c r="G117" s="89">
        <f t="shared" si="47"/>
        <v>9</v>
      </c>
      <c r="H117" s="89">
        <f t="shared" si="57"/>
        <v>4.5</v>
      </c>
      <c r="I117" s="89">
        <f t="shared" si="55"/>
        <v>426</v>
      </c>
      <c r="J117" s="89">
        <f t="shared" si="50"/>
        <v>426000</v>
      </c>
      <c r="K117" s="101">
        <f t="shared" si="58"/>
        <v>405212.81011016329</v>
      </c>
      <c r="L117" s="101">
        <f t="shared" si="52"/>
        <v>405.21281011016328</v>
      </c>
      <c r="M117" s="101"/>
      <c r="N117" s="101"/>
      <c r="O117" s="101"/>
      <c r="P117" s="101"/>
      <c r="Q117" s="101"/>
      <c r="R117" s="101"/>
      <c r="S117" s="89">
        <v>70.8</v>
      </c>
      <c r="T117" s="89">
        <f t="shared" si="59"/>
        <v>6371.9999999999991</v>
      </c>
      <c r="U117" s="89">
        <f t="shared" si="49"/>
        <v>115274</v>
      </c>
      <c r="V117" s="101">
        <f t="shared" si="60"/>
        <v>109649.06448976284</v>
      </c>
      <c r="W117" s="101">
        <f t="shared" si="56"/>
        <v>109.64906448976284</v>
      </c>
      <c r="X117" s="101"/>
      <c r="Y117" s="101"/>
      <c r="Z117" s="101"/>
      <c r="AA117" s="101"/>
      <c r="AB117" s="101"/>
      <c r="AC117" s="101"/>
      <c r="AD117" s="101"/>
      <c r="AE117" s="101"/>
    </row>
    <row r="118" spans="1:33" x14ac:dyDescent="0.25">
      <c r="A118" s="104">
        <v>44377</v>
      </c>
      <c r="B118" s="89">
        <v>91</v>
      </c>
      <c r="C118" s="89">
        <v>18.399999999999999</v>
      </c>
      <c r="D118" s="89">
        <v>773.2</v>
      </c>
      <c r="E118" s="89">
        <v>10159</v>
      </c>
      <c r="F118" s="89">
        <v>10161</v>
      </c>
      <c r="G118" s="89">
        <f t="shared" si="47"/>
        <v>2</v>
      </c>
      <c r="H118" s="89">
        <f t="shared" si="57"/>
        <v>1</v>
      </c>
      <c r="I118" s="89">
        <f t="shared" si="55"/>
        <v>430</v>
      </c>
      <c r="J118" s="89">
        <f t="shared" si="50"/>
        <v>430000</v>
      </c>
      <c r="K118" s="101">
        <f t="shared" si="58"/>
        <v>409859.36961250665</v>
      </c>
      <c r="L118" s="101">
        <f t="shared" si="52"/>
        <v>409.85936961250667</v>
      </c>
      <c r="M118" s="101"/>
      <c r="N118" s="101"/>
      <c r="O118" s="101"/>
      <c r="P118" s="101"/>
      <c r="Q118" s="101"/>
      <c r="R118" s="101"/>
      <c r="S118" s="89">
        <v>67.2</v>
      </c>
      <c r="T118" s="89">
        <f t="shared" si="59"/>
        <v>1344</v>
      </c>
      <c r="U118" s="89">
        <f t="shared" si="49"/>
        <v>116618</v>
      </c>
      <c r="V118" s="101">
        <f t="shared" si="60"/>
        <v>111155.76736156119</v>
      </c>
      <c r="W118" s="101">
        <f t="shared" si="56"/>
        <v>111.15576736156119</v>
      </c>
      <c r="X118" s="101"/>
      <c r="Y118" s="101"/>
      <c r="Z118" s="101"/>
      <c r="AA118" s="101"/>
      <c r="AB118" s="101"/>
      <c r="AC118" s="101"/>
      <c r="AD118" s="101"/>
      <c r="AE118" s="101"/>
    </row>
    <row r="119" spans="1:33" x14ac:dyDescent="0.25">
      <c r="A119" s="94">
        <v>44379</v>
      </c>
      <c r="B119" s="89">
        <v>93</v>
      </c>
      <c r="C119" s="89">
        <v>18.399999999999999</v>
      </c>
      <c r="D119" s="89">
        <v>773.2</v>
      </c>
      <c r="E119" s="89">
        <v>10161</v>
      </c>
      <c r="F119" s="89">
        <v>10162</v>
      </c>
      <c r="G119" s="89">
        <f t="shared" si="47"/>
        <v>1</v>
      </c>
      <c r="H119" s="89">
        <f t="shared" si="57"/>
        <v>0.5</v>
      </c>
      <c r="I119" s="89">
        <f t="shared" si="55"/>
        <v>432</v>
      </c>
      <c r="J119" s="89">
        <f t="shared" si="50"/>
        <v>432000</v>
      </c>
      <c r="K119" s="101">
        <f t="shared" si="58"/>
        <v>411765.69226186717</v>
      </c>
      <c r="L119" s="101">
        <f t="shared" si="52"/>
        <v>411.76569226186717</v>
      </c>
      <c r="M119" s="101"/>
      <c r="N119" s="101"/>
      <c r="O119" s="101"/>
      <c r="P119" s="101"/>
      <c r="Q119" s="101"/>
      <c r="R119" s="101"/>
      <c r="S119" s="89">
        <v>66.5</v>
      </c>
      <c r="T119" s="89">
        <f t="shared" si="59"/>
        <v>665</v>
      </c>
      <c r="U119" s="89">
        <f t="shared" si="49"/>
        <v>117283</v>
      </c>
      <c r="V119" s="101">
        <f t="shared" si="60"/>
        <v>111789.61964247355</v>
      </c>
      <c r="W119" s="101">
        <f t="shared" si="56"/>
        <v>111.78961964247355</v>
      </c>
      <c r="X119" s="101"/>
      <c r="Y119" s="101"/>
      <c r="Z119" s="101"/>
      <c r="AA119" s="101"/>
      <c r="AB119" s="101"/>
      <c r="AC119" s="101"/>
      <c r="AD119" s="101"/>
      <c r="AE119" s="101"/>
    </row>
    <row r="120" spans="1:33" x14ac:dyDescent="0.25">
      <c r="A120" s="94">
        <v>44382</v>
      </c>
      <c r="B120" s="89">
        <v>96</v>
      </c>
      <c r="C120" s="89">
        <v>18</v>
      </c>
      <c r="D120" s="89">
        <v>773.2</v>
      </c>
      <c r="E120" s="89">
        <v>10162</v>
      </c>
      <c r="F120" s="89">
        <v>10163.5</v>
      </c>
      <c r="G120" s="89">
        <f t="shared" si="47"/>
        <v>1.5</v>
      </c>
      <c r="H120" s="89">
        <f t="shared" si="57"/>
        <v>0.75</v>
      </c>
      <c r="I120" s="89">
        <f t="shared" si="55"/>
        <v>435</v>
      </c>
      <c r="J120" s="89">
        <f t="shared" si="50"/>
        <v>435000</v>
      </c>
      <c r="K120" s="101">
        <f t="shared" si="58"/>
        <v>415194.81412185798</v>
      </c>
      <c r="L120" s="101">
        <f t="shared" si="52"/>
        <v>415.19481412185797</v>
      </c>
      <c r="M120" s="101"/>
      <c r="N120" s="101"/>
      <c r="O120" s="101"/>
      <c r="P120" s="101"/>
      <c r="Q120" s="101"/>
      <c r="R120" s="101"/>
      <c r="S120" s="89">
        <v>60.2</v>
      </c>
      <c r="T120" s="89">
        <f t="shared" si="59"/>
        <v>903.00000000000011</v>
      </c>
      <c r="U120" s="89">
        <f t="shared" si="49"/>
        <v>118186</v>
      </c>
      <c r="V120" s="101">
        <f t="shared" si="60"/>
        <v>112805.09034897909</v>
      </c>
      <c r="W120" s="101">
        <f t="shared" si="56"/>
        <v>112.80509034897909</v>
      </c>
      <c r="X120" s="101"/>
      <c r="Y120" s="101"/>
      <c r="Z120" s="101"/>
      <c r="AA120" s="101"/>
      <c r="AB120" s="101"/>
      <c r="AC120" s="101"/>
      <c r="AD120" s="101"/>
      <c r="AE120" s="101"/>
    </row>
    <row r="121" spans="1:33" x14ac:dyDescent="0.25">
      <c r="A121" s="94">
        <v>44384</v>
      </c>
      <c r="B121" s="89">
        <v>98</v>
      </c>
      <c r="C121" s="89">
        <v>17</v>
      </c>
      <c r="D121" s="89">
        <v>773.2</v>
      </c>
      <c r="E121" s="89">
        <v>10163.5</v>
      </c>
      <c r="F121" s="89">
        <v>10164.200000000001</v>
      </c>
      <c r="G121" s="89">
        <f t="shared" si="47"/>
        <v>0.7000000000007276</v>
      </c>
      <c r="H121" s="89">
        <f t="shared" si="57"/>
        <v>0.3500000000003638</v>
      </c>
      <c r="I121" s="89">
        <f t="shared" si="55"/>
        <v>436.40000000000146</v>
      </c>
      <c r="J121" s="89">
        <f t="shared" si="50"/>
        <v>436400.00000000146</v>
      </c>
      <c r="K121" s="101">
        <f t="shared" si="58"/>
        <v>417966.64480259898</v>
      </c>
      <c r="L121" s="101">
        <f t="shared" si="52"/>
        <v>417.96664480259898</v>
      </c>
      <c r="M121" s="101"/>
      <c r="N121" s="101"/>
      <c r="O121" s="101"/>
      <c r="P121" s="101"/>
      <c r="Q121" s="101"/>
      <c r="R121" s="101"/>
      <c r="S121" s="89">
        <v>61.1</v>
      </c>
      <c r="T121" s="89">
        <f t="shared" si="59"/>
        <v>427.70000000044456</v>
      </c>
      <c r="U121" s="89">
        <f t="shared" si="49"/>
        <v>118613.70000000045</v>
      </c>
      <c r="V121" s="101">
        <f t="shared" si="60"/>
        <v>113603.50645422103</v>
      </c>
      <c r="W121" s="101">
        <f t="shared" si="56"/>
        <v>113.60350645422103</v>
      </c>
      <c r="X121" s="101"/>
      <c r="Y121" s="101"/>
      <c r="Z121" s="101"/>
      <c r="AA121" s="101"/>
      <c r="AB121" s="101"/>
      <c r="AC121" s="101"/>
      <c r="AD121" s="101"/>
      <c r="AE121" s="101"/>
      <c r="AG121" s="89">
        <f>AVERAGE(S79:S121)</f>
        <v>44.47674418604651</v>
      </c>
    </row>
    <row r="122" spans="1:33" x14ac:dyDescent="0.25">
      <c r="A122" s="94">
        <v>44417</v>
      </c>
      <c r="B122" s="89">
        <v>100</v>
      </c>
      <c r="C122" s="89">
        <v>19</v>
      </c>
      <c r="D122" s="89">
        <v>773.2</v>
      </c>
      <c r="E122" s="89">
        <v>10164.200000000001</v>
      </c>
      <c r="F122" s="89">
        <v>10165.6</v>
      </c>
      <c r="G122" s="89">
        <f t="shared" si="47"/>
        <v>1.3999999999996362</v>
      </c>
      <c r="H122" s="89">
        <f t="shared" si="57"/>
        <v>0.6999999999998181</v>
      </c>
      <c r="I122" s="89">
        <f t="shared" si="55"/>
        <v>439.20000000000073</v>
      </c>
      <c r="J122" s="89">
        <f t="shared" si="50"/>
        <v>439200.0000000007</v>
      </c>
      <c r="K122" s="101">
        <f t="shared" si="58"/>
        <v>417768.70000090147</v>
      </c>
      <c r="L122" s="101">
        <f>(K122/1000)</f>
        <v>417.76870000090145</v>
      </c>
      <c r="M122" s="101"/>
      <c r="N122" s="101"/>
      <c r="O122" s="101"/>
      <c r="P122" s="101"/>
      <c r="Q122" s="101"/>
      <c r="R122" s="101"/>
      <c r="S122" s="89">
        <v>60.9</v>
      </c>
      <c r="T122" s="89">
        <f t="shared" si="59"/>
        <v>852.59999999977833</v>
      </c>
      <c r="U122" s="89">
        <f t="shared" si="49"/>
        <v>119466.30000000022</v>
      </c>
      <c r="V122" s="101">
        <f t="shared" si="60"/>
        <v>113636.79609498568</v>
      </c>
      <c r="W122" s="101">
        <f t="shared" si="56"/>
        <v>113.63679609498568</v>
      </c>
      <c r="X122" s="101"/>
      <c r="Y122" s="101"/>
      <c r="Z122" s="101"/>
      <c r="AA122" s="101"/>
      <c r="AB122" s="101"/>
      <c r="AC122" s="101"/>
      <c r="AD122" s="101"/>
      <c r="AE122" s="101"/>
    </row>
    <row r="123" spans="1:33" x14ac:dyDescent="0.25">
      <c r="A123" s="94">
        <v>44419</v>
      </c>
      <c r="B123" s="89">
        <v>102</v>
      </c>
      <c r="C123" s="89">
        <v>19</v>
      </c>
      <c r="D123" s="89">
        <v>773.2</v>
      </c>
      <c r="E123" s="89">
        <v>10165.6</v>
      </c>
      <c r="F123" s="89">
        <v>10175.4</v>
      </c>
      <c r="G123" s="89">
        <f t="shared" si="47"/>
        <v>9.7999999999992724</v>
      </c>
      <c r="H123" s="89">
        <f t="shared" si="57"/>
        <v>4.8999999999996362</v>
      </c>
      <c r="I123" s="89">
        <f t="shared" si="55"/>
        <v>458.79999999999927</v>
      </c>
      <c r="J123" s="89">
        <f t="shared" si="50"/>
        <v>458799.9999999993</v>
      </c>
      <c r="K123" s="101">
        <f t="shared" si="58"/>
        <v>436412.29408108606</v>
      </c>
      <c r="L123" s="101">
        <f t="shared" si="52"/>
        <v>436.41229408108609</v>
      </c>
      <c r="M123" s="101"/>
      <c r="N123" s="101"/>
      <c r="O123" s="101"/>
      <c r="P123" s="101"/>
      <c r="Q123" s="101"/>
      <c r="R123" s="101"/>
      <c r="S123" s="89">
        <v>70.099999999999994</v>
      </c>
      <c r="T123" s="89">
        <f t="shared" si="59"/>
        <v>6869.79999999949</v>
      </c>
      <c r="U123" s="89">
        <f t="shared" si="49"/>
        <v>126336.09999999971</v>
      </c>
      <c r="V123" s="101">
        <f t="shared" si="60"/>
        <v>120171.37582009037</v>
      </c>
      <c r="W123" s="101">
        <f t="shared" si="56"/>
        <v>120.17137582009038</v>
      </c>
      <c r="X123" s="101"/>
      <c r="Y123" s="101"/>
      <c r="Z123" s="101"/>
      <c r="AA123" s="101"/>
      <c r="AB123" s="101"/>
      <c r="AC123" s="101"/>
      <c r="AD123" s="101"/>
      <c r="AE123" s="101"/>
    </row>
    <row r="124" spans="1:33" x14ac:dyDescent="0.25">
      <c r="A124" s="94">
        <v>44421</v>
      </c>
      <c r="B124" s="89">
        <v>104</v>
      </c>
      <c r="C124" s="89">
        <v>19</v>
      </c>
      <c r="D124" s="89">
        <v>773.2</v>
      </c>
      <c r="E124" s="89">
        <v>1075.4000000000001</v>
      </c>
      <c r="F124" s="89">
        <v>1084.5999999999999</v>
      </c>
      <c r="G124" s="89">
        <f t="shared" si="47"/>
        <v>9.1999999999998181</v>
      </c>
      <c r="H124" s="89">
        <f t="shared" si="57"/>
        <v>4.5999999999999091</v>
      </c>
      <c r="I124" s="89">
        <f t="shared" si="55"/>
        <v>477.19999999999891</v>
      </c>
      <c r="J124" s="89">
        <f t="shared" si="50"/>
        <v>477199.99999999889</v>
      </c>
      <c r="K124" s="101">
        <f t="shared" si="58"/>
        <v>453914.44362574996</v>
      </c>
      <c r="L124" s="101">
        <f t="shared" si="52"/>
        <v>453.91444362574998</v>
      </c>
      <c r="M124" s="101"/>
      <c r="N124" s="101"/>
      <c r="O124" s="101"/>
      <c r="P124" s="101"/>
      <c r="Q124" s="101"/>
      <c r="R124" s="101"/>
      <c r="S124" s="89">
        <v>71.2</v>
      </c>
      <c r="T124" s="89">
        <f t="shared" si="59"/>
        <v>6550.3999999998714</v>
      </c>
      <c r="U124" s="89">
        <f t="shared" si="49"/>
        <v>132886.49999999959</v>
      </c>
      <c r="V124" s="101">
        <f t="shared" si="60"/>
        <v>126402.14105799074</v>
      </c>
      <c r="W124" s="101">
        <f t="shared" si="56"/>
        <v>126.40214105799073</v>
      </c>
      <c r="X124" s="101"/>
      <c r="Y124" s="101"/>
      <c r="Z124" s="101"/>
      <c r="AA124" s="101"/>
      <c r="AB124" s="101"/>
      <c r="AC124" s="101"/>
      <c r="AD124" s="101"/>
      <c r="AE124" s="101"/>
    </row>
    <row r="125" spans="1:33" x14ac:dyDescent="0.25">
      <c r="A125" s="94">
        <v>44424</v>
      </c>
      <c r="B125" s="89">
        <v>107</v>
      </c>
      <c r="C125" s="89">
        <v>19</v>
      </c>
      <c r="D125" s="89">
        <v>773.2</v>
      </c>
      <c r="E125" s="89">
        <v>1084.5999999999999</v>
      </c>
      <c r="F125" s="89">
        <v>1093.2</v>
      </c>
      <c r="G125" s="89">
        <f t="shared" si="47"/>
        <v>8.6000000000001364</v>
      </c>
      <c r="H125" s="89">
        <f t="shared" si="57"/>
        <v>4.3000000000000682</v>
      </c>
      <c r="I125" s="89">
        <f t="shared" si="55"/>
        <v>494.39999999999918</v>
      </c>
      <c r="J125" s="89">
        <f>(I125*1000)</f>
        <v>494399.99999999919</v>
      </c>
      <c r="K125" s="101">
        <f>((D125*J125)/((273.15+C125)*760))*273.15</f>
        <v>470275.14863489306</v>
      </c>
      <c r="L125" s="101">
        <f t="shared" si="52"/>
        <v>470.27514863489307</v>
      </c>
      <c r="M125" s="101"/>
      <c r="N125" s="101"/>
      <c r="O125" s="101"/>
      <c r="P125" s="101"/>
      <c r="Q125" s="101"/>
      <c r="R125" s="101"/>
      <c r="S125" s="89">
        <v>69.5</v>
      </c>
      <c r="T125" s="89">
        <f t="shared" si="59"/>
        <v>5977.0000000000946</v>
      </c>
      <c r="U125" s="89">
        <f t="shared" si="49"/>
        <v>138863.49999999968</v>
      </c>
      <c r="V125" s="101">
        <f t="shared" si="60"/>
        <v>132087.48604866795</v>
      </c>
      <c r="W125" s="101">
        <f t="shared" si="56"/>
        <v>132.08748604866796</v>
      </c>
      <c r="X125" s="101"/>
      <c r="Y125" s="101"/>
      <c r="Z125" s="101"/>
      <c r="AA125" s="101"/>
      <c r="AB125" s="101"/>
      <c r="AC125" s="101"/>
      <c r="AD125" s="101"/>
      <c r="AE125" s="101"/>
    </row>
    <row r="126" spans="1:33" x14ac:dyDescent="0.25">
      <c r="A126" s="94">
        <v>44426</v>
      </c>
      <c r="B126" s="89">
        <v>109</v>
      </c>
      <c r="C126" s="89">
        <v>20</v>
      </c>
      <c r="D126" s="89">
        <v>773.2</v>
      </c>
      <c r="E126" s="89">
        <v>1093.2</v>
      </c>
      <c r="F126" s="89">
        <v>1102</v>
      </c>
      <c r="G126" s="89">
        <f t="shared" si="47"/>
        <v>8.7999999999999545</v>
      </c>
      <c r="H126" s="89">
        <f t="shared" si="57"/>
        <v>4.3999999999999773</v>
      </c>
      <c r="I126" s="89">
        <f t="shared" si="55"/>
        <v>511.99999999999909</v>
      </c>
      <c r="J126" s="89">
        <f t="shared" ref="J126:J148" si="61">(I126*1000)</f>
        <v>511999.99999999907</v>
      </c>
      <c r="K126" s="101">
        <f t="shared" ref="K126:K135" si="62">((D126*J126)/((273.15+C126)*760))*273.15</f>
        <v>485355.01386931341</v>
      </c>
      <c r="L126" s="101">
        <f t="shared" si="52"/>
        <v>485.35501386931338</v>
      </c>
      <c r="M126" s="101"/>
      <c r="N126" s="101"/>
      <c r="O126" s="101"/>
      <c r="P126" s="101"/>
      <c r="Q126" s="101"/>
      <c r="R126" s="101"/>
      <c r="S126" s="89">
        <v>64.3</v>
      </c>
      <c r="T126" s="89">
        <f t="shared" si="59"/>
        <v>5658.3999999999705</v>
      </c>
      <c r="U126" s="89">
        <f t="shared" si="49"/>
        <v>144521.89999999964</v>
      </c>
      <c r="V126" s="101">
        <f t="shared" si="60"/>
        <v>137000.8374588271</v>
      </c>
      <c r="W126" s="101">
        <f t="shared" si="56"/>
        <v>137.00083745882711</v>
      </c>
      <c r="X126" s="101"/>
      <c r="Y126" s="101"/>
      <c r="Z126" s="101"/>
      <c r="AA126" s="101"/>
      <c r="AB126" s="101"/>
      <c r="AC126" s="101"/>
      <c r="AD126" s="101"/>
      <c r="AE126" s="101"/>
    </row>
    <row r="127" spans="1:33" x14ac:dyDescent="0.25">
      <c r="A127" s="94">
        <v>44428</v>
      </c>
      <c r="B127" s="89">
        <v>111</v>
      </c>
      <c r="C127" s="89">
        <v>20</v>
      </c>
      <c r="D127" s="89">
        <v>773.2</v>
      </c>
      <c r="E127" s="89">
        <v>1102</v>
      </c>
      <c r="F127" s="89">
        <v>1110.9000000000001</v>
      </c>
      <c r="G127" s="89">
        <f t="shared" si="47"/>
        <v>8.9000000000000909</v>
      </c>
      <c r="H127" s="89">
        <f t="shared" si="57"/>
        <v>4.4500000000000455</v>
      </c>
      <c r="I127" s="89">
        <f t="shared" si="55"/>
        <v>529.79999999999927</v>
      </c>
      <c r="J127" s="89">
        <f t="shared" si="61"/>
        <v>529799.9999999993</v>
      </c>
      <c r="K127" s="101">
        <f t="shared" si="62"/>
        <v>502228.68427336396</v>
      </c>
      <c r="L127" s="101">
        <f t="shared" si="52"/>
        <v>502.22868427336397</v>
      </c>
      <c r="M127" s="101"/>
      <c r="N127" s="101"/>
      <c r="O127" s="101"/>
      <c r="P127" s="101"/>
      <c r="Q127" s="101"/>
      <c r="R127" s="101"/>
      <c r="S127" s="89">
        <v>60.7</v>
      </c>
      <c r="T127" s="89">
        <f t="shared" si="59"/>
        <v>5402.3000000000557</v>
      </c>
      <c r="U127" s="89">
        <f t="shared" si="49"/>
        <v>149924.19999999969</v>
      </c>
      <c r="V127" s="101">
        <f t="shared" si="60"/>
        <v>142121.99642645646</v>
      </c>
      <c r="W127" s="101">
        <f t="shared" si="56"/>
        <v>142.12199642645646</v>
      </c>
      <c r="X127" s="101"/>
      <c r="Y127" s="101"/>
      <c r="Z127" s="101"/>
      <c r="AA127" s="101"/>
      <c r="AB127" s="101"/>
      <c r="AC127" s="101"/>
      <c r="AD127" s="101"/>
      <c r="AE127" s="101"/>
    </row>
    <row r="128" spans="1:33" x14ac:dyDescent="0.25">
      <c r="A128" s="94">
        <v>44431</v>
      </c>
      <c r="B128" s="89">
        <v>115</v>
      </c>
      <c r="C128" s="89">
        <v>20</v>
      </c>
      <c r="D128" s="89">
        <v>773.2</v>
      </c>
      <c r="E128" s="89">
        <v>1110.9000000000001</v>
      </c>
      <c r="F128" s="89">
        <v>1118.9000000000001</v>
      </c>
      <c r="G128" s="89">
        <f t="shared" si="47"/>
        <v>8</v>
      </c>
      <c r="H128" s="89">
        <f t="shared" si="57"/>
        <v>4</v>
      </c>
      <c r="I128" s="89">
        <f t="shared" si="55"/>
        <v>545.79999999999927</v>
      </c>
      <c r="J128" s="89">
        <f t="shared" si="61"/>
        <v>545799.9999999993</v>
      </c>
      <c r="K128" s="101">
        <f t="shared" si="62"/>
        <v>517396.02845678007</v>
      </c>
      <c r="L128" s="101">
        <f t="shared" si="52"/>
        <v>517.39602845678007</v>
      </c>
      <c r="M128" s="101"/>
      <c r="N128" s="101"/>
      <c r="O128" s="101"/>
      <c r="P128" s="101"/>
      <c r="Q128" s="101"/>
      <c r="R128" s="101"/>
      <c r="S128" s="89">
        <v>65.900000000000006</v>
      </c>
      <c r="T128" s="89">
        <f t="shared" si="59"/>
        <v>5272</v>
      </c>
      <c r="U128" s="89">
        <f t="shared" si="49"/>
        <v>155196.19999999969</v>
      </c>
      <c r="V128" s="101">
        <f t="shared" si="60"/>
        <v>147119.63633489204</v>
      </c>
      <c r="W128" s="101">
        <f t="shared" si="56"/>
        <v>147.11963633489205</v>
      </c>
      <c r="X128" s="101"/>
      <c r="Y128" s="101"/>
      <c r="Z128" s="101"/>
      <c r="AA128" s="101"/>
      <c r="AB128" s="101"/>
      <c r="AC128" s="101"/>
      <c r="AD128" s="101"/>
      <c r="AE128" s="101"/>
    </row>
    <row r="129" spans="1:31" x14ac:dyDescent="0.25">
      <c r="A129" s="94">
        <v>44433</v>
      </c>
      <c r="B129" s="89">
        <v>117</v>
      </c>
      <c r="C129" s="89">
        <v>22</v>
      </c>
      <c r="D129" s="89">
        <v>773.2</v>
      </c>
      <c r="E129" s="89">
        <v>1118.9000000000001</v>
      </c>
      <c r="F129" s="89">
        <v>1127.2</v>
      </c>
      <c r="G129" s="89">
        <f t="shared" si="47"/>
        <v>8.2999999999999545</v>
      </c>
      <c r="H129" s="89">
        <f t="shared" si="57"/>
        <v>4.1499999999999773</v>
      </c>
      <c r="I129" s="89">
        <f t="shared" si="55"/>
        <v>562.39999999999918</v>
      </c>
      <c r="J129" s="89">
        <f t="shared" si="61"/>
        <v>562399.99999999919</v>
      </c>
      <c r="K129" s="101">
        <f t="shared" si="62"/>
        <v>529519.52973064478</v>
      </c>
      <c r="L129" s="101">
        <f t="shared" si="52"/>
        <v>529.51952973064476</v>
      </c>
      <c r="M129" s="101"/>
      <c r="N129" s="101"/>
      <c r="O129" s="101"/>
      <c r="P129" s="101"/>
      <c r="Q129" s="101"/>
      <c r="R129" s="101"/>
      <c r="S129" s="89">
        <v>63.6</v>
      </c>
      <c r="T129" s="89">
        <f t="shared" si="59"/>
        <v>5278.799999999972</v>
      </c>
      <c r="U129" s="89">
        <f t="shared" si="49"/>
        <v>160474.99999999965</v>
      </c>
      <c r="V129" s="101">
        <f t="shared" si="60"/>
        <v>151092.89924168767</v>
      </c>
      <c r="W129" s="101">
        <f t="shared" si="56"/>
        <v>151.09289924168766</v>
      </c>
      <c r="X129" s="101"/>
      <c r="Y129" s="101"/>
      <c r="Z129" s="101"/>
      <c r="AA129" s="101"/>
      <c r="AB129" s="101"/>
      <c r="AC129" s="101"/>
      <c r="AD129" s="101"/>
      <c r="AE129" s="101"/>
    </row>
    <row r="130" spans="1:31" x14ac:dyDescent="0.25">
      <c r="A130" s="94">
        <v>44435</v>
      </c>
      <c r="B130" s="89">
        <v>119</v>
      </c>
      <c r="C130" s="89">
        <v>19</v>
      </c>
      <c r="D130" s="89">
        <v>773.2</v>
      </c>
      <c r="E130" s="89">
        <v>1127.2</v>
      </c>
      <c r="F130" s="89">
        <v>1134</v>
      </c>
      <c r="G130" s="89">
        <f t="shared" si="47"/>
        <v>6.7999999999999545</v>
      </c>
      <c r="H130" s="89">
        <f t="shared" si="57"/>
        <v>3.3999999999999773</v>
      </c>
      <c r="I130" s="89">
        <f t="shared" si="55"/>
        <v>575.99999999999909</v>
      </c>
      <c r="J130" s="89">
        <f t="shared" si="61"/>
        <v>575999.99999999907</v>
      </c>
      <c r="K130" s="101">
        <f t="shared" si="62"/>
        <v>547893.37705036078</v>
      </c>
      <c r="L130" s="101">
        <f t="shared" si="52"/>
        <v>547.89337705036075</v>
      </c>
      <c r="M130" s="101"/>
      <c r="N130" s="101"/>
      <c r="O130" s="101"/>
      <c r="P130" s="101"/>
      <c r="Q130" s="101"/>
      <c r="R130" s="101"/>
      <c r="S130" s="89">
        <v>64</v>
      </c>
      <c r="T130" s="89">
        <f t="shared" si="59"/>
        <v>4351.9999999999709</v>
      </c>
      <c r="U130" s="89">
        <f t="shared" si="49"/>
        <v>164826.99999999962</v>
      </c>
      <c r="V130" s="101">
        <f t="shared" si="60"/>
        <v>156784.06538034679</v>
      </c>
      <c r="W130" s="101">
        <f t="shared" si="56"/>
        <v>156.78406538034679</v>
      </c>
      <c r="X130" s="101"/>
      <c r="Y130" s="101"/>
      <c r="Z130" s="101"/>
      <c r="AA130" s="101"/>
      <c r="AB130" s="101"/>
      <c r="AC130" s="101"/>
      <c r="AD130" s="101"/>
      <c r="AE130" s="101"/>
    </row>
    <row r="131" spans="1:31" x14ac:dyDescent="0.25">
      <c r="A131" s="94">
        <v>44438</v>
      </c>
      <c r="B131" s="89">
        <v>122</v>
      </c>
      <c r="C131" s="89">
        <v>16</v>
      </c>
      <c r="D131" s="89">
        <v>773.2</v>
      </c>
      <c r="E131" s="89">
        <v>1134</v>
      </c>
      <c r="F131" s="89">
        <v>1140.2</v>
      </c>
      <c r="G131" s="89">
        <f t="shared" si="47"/>
        <v>6.2000000000000455</v>
      </c>
      <c r="H131" s="89">
        <f t="shared" si="57"/>
        <v>3.1000000000000227</v>
      </c>
      <c r="I131" s="89">
        <f t="shared" si="55"/>
        <v>588.39999999999918</v>
      </c>
      <c r="J131" s="89">
        <f t="shared" si="61"/>
        <v>588399.99999999919</v>
      </c>
      <c r="K131" s="101">
        <f t="shared" si="62"/>
        <v>565495.2031453345</v>
      </c>
      <c r="L131" s="101">
        <f>(K131/1000)</f>
        <v>565.49520314533447</v>
      </c>
      <c r="M131" s="101"/>
      <c r="N131" s="101"/>
      <c r="O131" s="101"/>
      <c r="P131" s="101"/>
      <c r="Q131" s="101"/>
      <c r="R131" s="101"/>
      <c r="S131" s="89">
        <v>62.5</v>
      </c>
      <c r="T131" s="89">
        <f t="shared" si="59"/>
        <v>3875.0000000000282</v>
      </c>
      <c r="U131" s="89">
        <f t="shared" si="49"/>
        <v>168701.99999999965</v>
      </c>
      <c r="V131" s="101">
        <f t="shared" si="60"/>
        <v>162134.89422335854</v>
      </c>
      <c r="W131" s="101">
        <f t="shared" si="56"/>
        <v>162.13489422335854</v>
      </c>
      <c r="X131" s="101"/>
      <c r="Y131" s="101"/>
      <c r="Z131" s="101"/>
      <c r="AA131" s="101"/>
      <c r="AB131" s="101"/>
      <c r="AC131" s="101"/>
      <c r="AD131" s="101"/>
      <c r="AE131" s="101"/>
    </row>
    <row r="132" spans="1:31" x14ac:dyDescent="0.25">
      <c r="A132" s="94">
        <v>44440</v>
      </c>
      <c r="B132" s="89">
        <v>124</v>
      </c>
      <c r="C132" s="89">
        <v>16</v>
      </c>
      <c r="D132" s="89">
        <v>773.2</v>
      </c>
      <c r="E132" s="89">
        <v>1140.2</v>
      </c>
      <c r="F132" s="89">
        <v>1146.8</v>
      </c>
      <c r="G132" s="89">
        <f t="shared" si="47"/>
        <v>6.5999999999999091</v>
      </c>
      <c r="H132" s="89">
        <f t="shared" si="57"/>
        <v>3.2999999999999545</v>
      </c>
      <c r="I132" s="89">
        <f t="shared" si="55"/>
        <v>601.599999999999</v>
      </c>
      <c r="J132" s="89">
        <f t="shared" si="61"/>
        <v>601599.99999999895</v>
      </c>
      <c r="K132" s="101">
        <f t="shared" si="62"/>
        <v>578181.36337905016</v>
      </c>
      <c r="L132" s="101">
        <f t="shared" si="52"/>
        <v>578.18136337905014</v>
      </c>
      <c r="M132" s="101"/>
      <c r="N132" s="101"/>
      <c r="O132" s="101"/>
      <c r="P132" s="101"/>
      <c r="Q132" s="101"/>
      <c r="R132" s="101"/>
      <c r="S132" s="89">
        <v>62.7</v>
      </c>
      <c r="T132" s="89">
        <f t="shared" si="59"/>
        <v>4138.1999999999434</v>
      </c>
      <c r="U132" s="89">
        <f t="shared" si="49"/>
        <v>172840.1999999996</v>
      </c>
      <c r="V132" s="101">
        <f t="shared" si="60"/>
        <v>166112.00545662842</v>
      </c>
      <c r="W132" s="101">
        <f t="shared" si="56"/>
        <v>166.11200545662842</v>
      </c>
      <c r="X132" s="101"/>
      <c r="Y132" s="101"/>
      <c r="Z132" s="101"/>
      <c r="AA132" s="101"/>
      <c r="AB132" s="101"/>
      <c r="AC132" s="101"/>
      <c r="AD132" s="101"/>
      <c r="AE132" s="101"/>
    </row>
    <row r="133" spans="1:31" x14ac:dyDescent="0.25">
      <c r="A133" s="94">
        <v>44442</v>
      </c>
      <c r="B133" s="89">
        <v>126</v>
      </c>
      <c r="C133" s="89">
        <v>19</v>
      </c>
      <c r="D133" s="89">
        <v>773.2</v>
      </c>
      <c r="E133" s="89">
        <v>1146.8</v>
      </c>
      <c r="F133" s="89">
        <v>1152.3</v>
      </c>
      <c r="G133" s="89">
        <f t="shared" si="47"/>
        <v>5.5</v>
      </c>
      <c r="H133" s="89">
        <f t="shared" si="57"/>
        <v>2.75</v>
      </c>
      <c r="I133" s="89">
        <f t="shared" si="55"/>
        <v>612.599999999999</v>
      </c>
      <c r="J133" s="89">
        <f t="shared" si="61"/>
        <v>612599.99999999895</v>
      </c>
      <c r="K133" s="101">
        <f t="shared" si="62"/>
        <v>582707.4353837691</v>
      </c>
      <c r="L133" s="101">
        <f t="shared" si="52"/>
        <v>582.70743538376905</v>
      </c>
      <c r="M133" s="101"/>
      <c r="N133" s="101"/>
      <c r="O133" s="101"/>
      <c r="P133" s="101"/>
      <c r="Q133" s="101"/>
      <c r="R133" s="101"/>
      <c r="S133" s="89">
        <v>61.8</v>
      </c>
      <c r="T133" s="89">
        <f t="shared" si="59"/>
        <v>3399</v>
      </c>
      <c r="U133" s="89">
        <f t="shared" si="49"/>
        <v>176239.1999999996</v>
      </c>
      <c r="V133" s="101">
        <f t="shared" si="60"/>
        <v>167639.393153913</v>
      </c>
      <c r="W133" s="101">
        <f t="shared" si="56"/>
        <v>167.63939315391301</v>
      </c>
      <c r="X133" s="101"/>
      <c r="Y133" s="101"/>
      <c r="Z133" s="101"/>
      <c r="AA133" s="101"/>
      <c r="AB133" s="101"/>
      <c r="AC133" s="101"/>
      <c r="AD133" s="101"/>
      <c r="AE133" s="101"/>
    </row>
    <row r="134" spans="1:31" x14ac:dyDescent="0.25">
      <c r="A134" s="94">
        <v>44445</v>
      </c>
      <c r="B134" s="89">
        <v>129</v>
      </c>
      <c r="C134" s="89">
        <v>19</v>
      </c>
      <c r="D134" s="89">
        <v>773.2</v>
      </c>
      <c r="E134" s="89">
        <v>1152.3</v>
      </c>
      <c r="F134" s="89">
        <v>1158.5</v>
      </c>
      <c r="G134" s="89">
        <f t="shared" si="47"/>
        <v>6.2000000000000455</v>
      </c>
      <c r="H134" s="89">
        <f t="shared" si="57"/>
        <v>3.1000000000000227</v>
      </c>
      <c r="I134" s="89">
        <f t="shared" si="55"/>
        <v>624.99999999999909</v>
      </c>
      <c r="J134" s="89">
        <f t="shared" si="61"/>
        <v>624999.99999999907</v>
      </c>
      <c r="K134" s="101">
        <f t="shared" si="62"/>
        <v>594502.36225082562</v>
      </c>
      <c r="L134" s="101">
        <f>(K134/1000)</f>
        <v>594.50236225082563</v>
      </c>
      <c r="M134" s="101"/>
      <c r="N134" s="101"/>
      <c r="O134" s="101"/>
      <c r="P134" s="101"/>
      <c r="Q134" s="101"/>
      <c r="R134" s="101"/>
      <c r="S134" s="89">
        <v>59</v>
      </c>
      <c r="T134" s="89">
        <f t="shared" si="59"/>
        <v>3658.0000000000268</v>
      </c>
      <c r="U134" s="89">
        <f t="shared" si="49"/>
        <v>179897.19999999963</v>
      </c>
      <c r="V134" s="101">
        <f t="shared" si="60"/>
        <v>171118.89657969464</v>
      </c>
      <c r="W134" s="101">
        <f t="shared" si="56"/>
        <v>171.11889657969465</v>
      </c>
      <c r="X134" s="101"/>
      <c r="Y134" s="101"/>
      <c r="Z134" s="101"/>
      <c r="AA134" s="101"/>
      <c r="AB134" s="101"/>
      <c r="AC134" s="101"/>
      <c r="AD134" s="101"/>
      <c r="AE134" s="101"/>
    </row>
    <row r="135" spans="1:31" x14ac:dyDescent="0.25">
      <c r="A135" s="94">
        <v>44447</v>
      </c>
      <c r="B135" s="89">
        <v>131</v>
      </c>
      <c r="C135" s="89">
        <v>20</v>
      </c>
      <c r="D135" s="89">
        <v>773.2</v>
      </c>
      <c r="E135" s="89">
        <v>1158.5</v>
      </c>
      <c r="F135" s="89">
        <v>1167.8</v>
      </c>
      <c r="G135" s="89">
        <f t="shared" si="47"/>
        <v>9.2999999999999545</v>
      </c>
      <c r="H135" s="89">
        <f t="shared" si="57"/>
        <v>4.6499999999999773</v>
      </c>
      <c r="I135" s="89">
        <f t="shared" si="55"/>
        <v>643.599999999999</v>
      </c>
      <c r="J135" s="89">
        <f t="shared" si="61"/>
        <v>643599.99999999895</v>
      </c>
      <c r="K135" s="101">
        <f t="shared" si="62"/>
        <v>610106.41977791046</v>
      </c>
      <c r="L135" s="101">
        <f t="shared" si="52"/>
        <v>610.10641977791045</v>
      </c>
      <c r="M135" s="101"/>
      <c r="N135" s="101"/>
      <c r="O135" s="101"/>
      <c r="P135" s="101"/>
      <c r="Q135" s="101"/>
      <c r="R135" s="101"/>
      <c r="S135" s="89">
        <v>59.5</v>
      </c>
      <c r="T135" s="89">
        <f t="shared" si="59"/>
        <v>5533.4999999999727</v>
      </c>
      <c r="U135" s="89">
        <f t="shared" si="49"/>
        <v>185430.6999999996</v>
      </c>
      <c r="V135" s="101">
        <f t="shared" si="60"/>
        <v>175780.7030669853</v>
      </c>
      <c r="W135" s="101">
        <f t="shared" si="56"/>
        <v>175.7807030669853</v>
      </c>
      <c r="X135" s="101"/>
      <c r="Y135" s="101"/>
      <c r="Z135" s="101"/>
      <c r="AA135" s="101"/>
      <c r="AB135" s="101"/>
      <c r="AC135" s="101"/>
      <c r="AD135" s="101"/>
      <c r="AE135" s="101"/>
    </row>
    <row r="136" spans="1:31" x14ac:dyDescent="0.25">
      <c r="A136" s="94">
        <v>44449</v>
      </c>
      <c r="B136" s="89">
        <v>133</v>
      </c>
      <c r="C136" s="89">
        <v>19</v>
      </c>
      <c r="D136" s="89">
        <v>773.2</v>
      </c>
      <c r="E136" s="89">
        <v>1167.8</v>
      </c>
      <c r="F136" s="89">
        <v>1176.2</v>
      </c>
      <c r="G136" s="89">
        <f t="shared" si="47"/>
        <v>8.4000000000000909</v>
      </c>
      <c r="H136" s="89">
        <f t="shared" si="57"/>
        <v>4.2000000000000455</v>
      </c>
      <c r="I136" s="89">
        <f t="shared" si="55"/>
        <v>660.39999999999918</v>
      </c>
      <c r="J136" s="89">
        <f t="shared" si="61"/>
        <v>660399.99999999919</v>
      </c>
      <c r="K136" s="101">
        <f>((D136*J136)/((273.15+C136)*760))*273.15</f>
        <v>628174.9760487125</v>
      </c>
      <c r="L136" s="101">
        <f t="shared" si="52"/>
        <v>628.17497604871255</v>
      </c>
      <c r="M136" s="101"/>
      <c r="N136" s="101"/>
      <c r="O136" s="101"/>
      <c r="P136" s="101"/>
      <c r="Q136" s="101"/>
      <c r="R136" s="101"/>
      <c r="S136" s="89">
        <v>57.7</v>
      </c>
      <c r="T136" s="89">
        <f t="shared" si="59"/>
        <v>4846.8000000000529</v>
      </c>
      <c r="U136" s="89">
        <f t="shared" si="49"/>
        <v>190277.49999999965</v>
      </c>
      <c r="V136" s="101">
        <f t="shared" si="60"/>
        <v>180992.67717309028</v>
      </c>
      <c r="W136" s="101">
        <f t="shared" si="56"/>
        <v>180.99267717309027</v>
      </c>
      <c r="X136" s="101"/>
      <c r="Y136" s="101"/>
      <c r="Z136" s="101"/>
      <c r="AA136" s="101"/>
      <c r="AB136" s="101"/>
      <c r="AC136" s="101"/>
      <c r="AD136" s="101"/>
      <c r="AE136" s="101"/>
    </row>
    <row r="137" spans="1:31" x14ac:dyDescent="0.25">
      <c r="A137" s="94">
        <v>44452</v>
      </c>
      <c r="B137" s="89">
        <v>136</v>
      </c>
      <c r="C137" s="89">
        <v>21</v>
      </c>
      <c r="D137" s="89">
        <v>773.2</v>
      </c>
      <c r="E137" s="89">
        <v>1176.2</v>
      </c>
      <c r="F137" s="89">
        <v>1184.4000000000001</v>
      </c>
      <c r="G137" s="89">
        <f t="shared" si="47"/>
        <v>8.2000000000000455</v>
      </c>
      <c r="H137" s="89">
        <f t="shared" si="57"/>
        <v>4.1000000000000227</v>
      </c>
      <c r="I137" s="89">
        <f t="shared" si="55"/>
        <v>676.79999999999927</v>
      </c>
      <c r="J137" s="89">
        <f t="shared" si="61"/>
        <v>676799.9999999993</v>
      </c>
      <c r="K137" s="101">
        <f t="shared" ref="K137:K148" si="63">((D137*J137)/((273.15+C137)*760))*273.15</f>
        <v>639397.531442067</v>
      </c>
      <c r="L137" s="101">
        <f t="shared" si="52"/>
        <v>639.39753144206702</v>
      </c>
      <c r="M137" s="101"/>
      <c r="N137" s="101"/>
      <c r="O137" s="101"/>
      <c r="P137" s="101"/>
      <c r="Q137" s="101"/>
      <c r="R137" s="101"/>
      <c r="S137" s="89">
        <v>57.2</v>
      </c>
      <c r="T137" s="89">
        <f t="shared" si="59"/>
        <v>4690.400000000026</v>
      </c>
      <c r="U137" s="89">
        <f t="shared" si="49"/>
        <v>194967.89999999967</v>
      </c>
      <c r="V137" s="101">
        <f t="shared" si="60"/>
        <v>184193.25350242865</v>
      </c>
      <c r="W137" s="101">
        <f t="shared" si="56"/>
        <v>184.19325350242866</v>
      </c>
      <c r="X137" s="101"/>
      <c r="Y137" s="101"/>
      <c r="Z137" s="101"/>
      <c r="AA137" s="101"/>
      <c r="AB137" s="101"/>
      <c r="AC137" s="101"/>
      <c r="AD137" s="101"/>
      <c r="AE137" s="101"/>
    </row>
    <row r="138" spans="1:31" x14ac:dyDescent="0.25">
      <c r="A138" s="94">
        <v>44454</v>
      </c>
      <c r="B138" s="89">
        <v>138</v>
      </c>
      <c r="C138" s="89">
        <v>20</v>
      </c>
      <c r="D138" s="89">
        <v>773.2</v>
      </c>
      <c r="E138" s="89">
        <v>1184.4000000000001</v>
      </c>
      <c r="F138" s="89">
        <v>1192.4000000000001</v>
      </c>
      <c r="G138" s="89">
        <f t="shared" si="47"/>
        <v>8</v>
      </c>
      <c r="H138" s="89">
        <f t="shared" si="57"/>
        <v>4</v>
      </c>
      <c r="I138" s="89">
        <f t="shared" si="55"/>
        <v>692.79999999999927</v>
      </c>
      <c r="J138" s="89">
        <f t="shared" si="61"/>
        <v>692799.9999999993</v>
      </c>
      <c r="K138" s="101">
        <f t="shared" si="63"/>
        <v>656746.00314191519</v>
      </c>
      <c r="L138" s="101">
        <f t="shared" si="52"/>
        <v>656.74600314191514</v>
      </c>
      <c r="M138" s="101"/>
      <c r="N138" s="101"/>
      <c r="O138" s="101"/>
      <c r="P138" s="101"/>
      <c r="Q138" s="101"/>
      <c r="R138" s="101"/>
      <c r="S138" s="89">
        <v>54.1</v>
      </c>
      <c r="T138" s="89">
        <f t="shared" si="59"/>
        <v>4328</v>
      </c>
      <c r="U138" s="89">
        <f t="shared" si="49"/>
        <v>199295.89999999967</v>
      </c>
      <c r="V138" s="101">
        <f t="shared" si="60"/>
        <v>188924.34435272912</v>
      </c>
      <c r="W138" s="101">
        <f t="shared" si="56"/>
        <v>188.92434435272912</v>
      </c>
      <c r="X138" s="101"/>
      <c r="Y138" s="101"/>
      <c r="Z138" s="101"/>
      <c r="AA138" s="101"/>
      <c r="AB138" s="101"/>
      <c r="AC138" s="101"/>
      <c r="AD138" s="101"/>
      <c r="AE138" s="101"/>
    </row>
    <row r="139" spans="1:31" x14ac:dyDescent="0.25">
      <c r="A139" s="94">
        <v>44456</v>
      </c>
      <c r="B139" s="89">
        <v>140</v>
      </c>
      <c r="C139" s="89">
        <v>19</v>
      </c>
      <c r="D139" s="89">
        <v>773.2</v>
      </c>
      <c r="E139" s="89">
        <v>1192.4000000000001</v>
      </c>
      <c r="F139" s="89">
        <v>1200.4000000000001</v>
      </c>
      <c r="G139" s="89">
        <f t="shared" si="47"/>
        <v>8</v>
      </c>
      <c r="H139" s="89">
        <f t="shared" si="57"/>
        <v>4</v>
      </c>
      <c r="I139" s="89">
        <f t="shared" si="55"/>
        <v>708.79999999999927</v>
      </c>
      <c r="J139" s="89">
        <f t="shared" si="61"/>
        <v>708799.9999999993</v>
      </c>
      <c r="K139" s="101">
        <f t="shared" si="63"/>
        <v>674213.23898141668</v>
      </c>
      <c r="L139" s="101">
        <f t="shared" si="52"/>
        <v>674.21323898141668</v>
      </c>
      <c r="M139" s="101"/>
      <c r="N139" s="101"/>
      <c r="O139" s="101"/>
      <c r="P139" s="101"/>
      <c r="Q139" s="101"/>
      <c r="R139" s="101"/>
      <c r="S139" s="89">
        <v>57.4</v>
      </c>
      <c r="T139" s="89">
        <f t="shared" si="59"/>
        <v>4592</v>
      </c>
      <c r="U139" s="89">
        <f t="shared" si="49"/>
        <v>203887.89999999967</v>
      </c>
      <c r="V139" s="101">
        <f t="shared" si="60"/>
        <v>193938.94109497615</v>
      </c>
      <c r="W139" s="101">
        <f t="shared" si="56"/>
        <v>193.93894109497614</v>
      </c>
      <c r="X139" s="101"/>
      <c r="Y139" s="101"/>
      <c r="Z139" s="101"/>
      <c r="AA139" s="101"/>
      <c r="AB139" s="101"/>
      <c r="AC139" s="101"/>
      <c r="AD139" s="101"/>
      <c r="AE139" s="101"/>
    </row>
    <row r="140" spans="1:31" x14ac:dyDescent="0.25">
      <c r="A140" s="94">
        <v>44459</v>
      </c>
      <c r="B140" s="89">
        <v>143</v>
      </c>
      <c r="C140" s="89">
        <v>22</v>
      </c>
      <c r="D140" s="89">
        <v>773.2</v>
      </c>
      <c r="E140" s="89">
        <v>1200.4000000000001</v>
      </c>
      <c r="F140" s="89">
        <v>1207.0999999999999</v>
      </c>
      <c r="G140" s="89">
        <f t="shared" si="47"/>
        <v>6.6999999999998181</v>
      </c>
      <c r="H140" s="89">
        <f t="shared" si="57"/>
        <v>3.3499999999999091</v>
      </c>
      <c r="I140" s="89">
        <f t="shared" si="55"/>
        <v>722.19999999999891</v>
      </c>
      <c r="J140" s="89">
        <f t="shared" si="61"/>
        <v>722199.99999999895</v>
      </c>
      <c r="K140" s="101">
        <f t="shared" si="63"/>
        <v>679976.89255240327</v>
      </c>
      <c r="L140" s="101">
        <f t="shared" si="52"/>
        <v>679.97689255240323</v>
      </c>
      <c r="M140" s="101"/>
      <c r="N140" s="101"/>
      <c r="O140" s="101"/>
      <c r="P140" s="101"/>
      <c r="Q140" s="101"/>
      <c r="R140" s="101"/>
      <c r="S140" s="89">
        <v>59.6</v>
      </c>
      <c r="T140" s="89">
        <f t="shared" si="59"/>
        <v>3993.199999999892</v>
      </c>
      <c r="U140" s="89">
        <f t="shared" si="49"/>
        <v>207881.09999999957</v>
      </c>
      <c r="V140" s="101">
        <f t="shared" si="60"/>
        <v>195727.42231843717</v>
      </c>
      <c r="W140" s="101">
        <f t="shared" si="56"/>
        <v>195.72742231843716</v>
      </c>
      <c r="X140" s="101"/>
      <c r="Y140" s="101"/>
      <c r="Z140" s="101"/>
      <c r="AA140" s="101"/>
      <c r="AB140" s="101"/>
      <c r="AC140" s="101"/>
      <c r="AD140" s="101"/>
      <c r="AE140" s="101"/>
    </row>
    <row r="141" spans="1:31" x14ac:dyDescent="0.25">
      <c r="A141" s="94">
        <v>44461</v>
      </c>
      <c r="B141" s="89">
        <v>145</v>
      </c>
      <c r="C141" s="89">
        <v>18</v>
      </c>
      <c r="D141" s="89">
        <v>773.2</v>
      </c>
      <c r="E141" s="89">
        <v>1207.0999999999999</v>
      </c>
      <c r="F141" s="89">
        <v>1213.0999999999999</v>
      </c>
      <c r="G141" s="89">
        <f t="shared" si="47"/>
        <v>6</v>
      </c>
      <c r="H141" s="89">
        <f t="shared" si="57"/>
        <v>3</v>
      </c>
      <c r="I141" s="89">
        <f t="shared" si="55"/>
        <v>734.19999999999891</v>
      </c>
      <c r="J141" s="89">
        <f t="shared" si="61"/>
        <v>734199.99999999895</v>
      </c>
      <c r="K141" s="101">
        <f t="shared" si="63"/>
        <v>700772.48857073032</v>
      </c>
      <c r="L141" s="101">
        <f t="shared" si="52"/>
        <v>700.77248857073027</v>
      </c>
      <c r="M141" s="101"/>
      <c r="N141" s="101"/>
      <c r="O141" s="101"/>
      <c r="P141" s="101"/>
      <c r="Q141" s="101"/>
      <c r="R141" s="101"/>
      <c r="S141" s="89">
        <v>54.8</v>
      </c>
      <c r="T141" s="89">
        <f t="shared" si="59"/>
        <v>3287.9999999999995</v>
      </c>
      <c r="U141" s="89">
        <f t="shared" si="49"/>
        <v>211169.09999999957</v>
      </c>
      <c r="V141" s="101">
        <f t="shared" si="60"/>
        <v>201554.74763857442</v>
      </c>
      <c r="W141" s="101">
        <f t="shared" si="56"/>
        <v>201.55474763857441</v>
      </c>
      <c r="X141" s="101"/>
      <c r="Y141" s="101"/>
      <c r="Z141" s="101"/>
      <c r="AA141" s="101"/>
      <c r="AB141" s="101"/>
      <c r="AC141" s="101"/>
      <c r="AD141" s="101"/>
      <c r="AE141" s="101"/>
    </row>
    <row r="142" spans="1:31" x14ac:dyDescent="0.25">
      <c r="A142" s="94">
        <v>44463</v>
      </c>
      <c r="B142" s="89">
        <v>147</v>
      </c>
      <c r="C142" s="89">
        <v>20</v>
      </c>
      <c r="D142" s="89">
        <v>773.2</v>
      </c>
      <c r="E142" s="89">
        <v>1213.0999999999999</v>
      </c>
      <c r="F142" s="89">
        <v>1217.3</v>
      </c>
      <c r="G142" s="89">
        <f t="shared" si="47"/>
        <v>4.2000000000000455</v>
      </c>
      <c r="H142" s="89">
        <f t="shared" si="57"/>
        <v>2.1000000000000227</v>
      </c>
      <c r="I142" s="89">
        <f t="shared" si="55"/>
        <v>742.599999999999</v>
      </c>
      <c r="J142" s="89">
        <f t="shared" si="61"/>
        <v>742599.99999999895</v>
      </c>
      <c r="K142" s="101">
        <f t="shared" si="63"/>
        <v>703954.36191279744</v>
      </c>
      <c r="L142" s="101">
        <f t="shared" si="52"/>
        <v>703.95436191279748</v>
      </c>
      <c r="M142" s="101"/>
      <c r="N142" s="101"/>
      <c r="O142" s="101"/>
      <c r="P142" s="101"/>
      <c r="Q142" s="101"/>
      <c r="R142" s="101"/>
      <c r="S142" s="89">
        <v>53.1</v>
      </c>
      <c r="T142" s="89">
        <f t="shared" si="59"/>
        <v>2230.2000000000244</v>
      </c>
      <c r="U142" s="89">
        <f t="shared" si="49"/>
        <v>213399.29999999958</v>
      </c>
      <c r="V142" s="101">
        <f t="shared" si="60"/>
        <v>202293.78947500346</v>
      </c>
      <c r="W142" s="101">
        <f t="shared" si="56"/>
        <v>202.29378947500345</v>
      </c>
      <c r="X142" s="101"/>
      <c r="Y142" s="101"/>
      <c r="Z142" s="101"/>
      <c r="AA142" s="101"/>
      <c r="AB142" s="101"/>
      <c r="AC142" s="101"/>
      <c r="AD142" s="101"/>
      <c r="AE142" s="101"/>
    </row>
    <row r="143" spans="1:31" x14ac:dyDescent="0.25">
      <c r="A143" s="94">
        <v>44466</v>
      </c>
      <c r="B143" s="89">
        <v>150</v>
      </c>
      <c r="C143" s="89">
        <v>19</v>
      </c>
      <c r="D143" s="89">
        <v>773.2</v>
      </c>
      <c r="E143" s="89">
        <v>1217.3</v>
      </c>
      <c r="F143" s="89">
        <v>1219.4000000000001</v>
      </c>
      <c r="G143" s="89">
        <f t="shared" si="47"/>
        <v>2.1000000000001364</v>
      </c>
      <c r="H143" s="89">
        <f t="shared" si="57"/>
        <v>1.0500000000000682</v>
      </c>
      <c r="I143" s="89">
        <f t="shared" si="55"/>
        <v>746.79999999999927</v>
      </c>
      <c r="J143" s="89">
        <f t="shared" si="61"/>
        <v>746799.9999999993</v>
      </c>
      <c r="K143" s="101">
        <f t="shared" si="63"/>
        <v>710358.98260626697</v>
      </c>
      <c r="L143" s="101">
        <f t="shared" si="52"/>
        <v>710.35898260626698</v>
      </c>
      <c r="M143" s="101"/>
      <c r="N143" s="101"/>
      <c r="O143" s="101"/>
      <c r="P143" s="101"/>
      <c r="Q143" s="101"/>
      <c r="R143" s="101"/>
      <c r="S143" s="89">
        <v>52.4</v>
      </c>
      <c r="T143" s="89">
        <f t="shared" ref="T143:T146" si="64">(G143*S143)*10</f>
        <v>1100.4000000000715</v>
      </c>
      <c r="U143" s="89">
        <f t="shared" si="49"/>
        <v>214499.69999999966</v>
      </c>
      <c r="V143" s="101">
        <f t="shared" ref="V143:V146" si="65">((D143*U143)/((273.15+C143)*760))*273.15</f>
        <v>204032.92536334947</v>
      </c>
      <c r="W143" s="101">
        <f t="shared" si="56"/>
        <v>204.03292536334948</v>
      </c>
      <c r="X143" s="101"/>
      <c r="Y143" s="101"/>
      <c r="Z143" s="101"/>
      <c r="AA143" s="101"/>
      <c r="AB143" s="101"/>
      <c r="AC143" s="101"/>
      <c r="AD143" s="101"/>
      <c r="AE143" s="101"/>
    </row>
    <row r="144" spans="1:31" x14ac:dyDescent="0.25">
      <c r="A144" s="94">
        <v>44468</v>
      </c>
      <c r="B144" s="89">
        <v>152</v>
      </c>
      <c r="C144" s="89">
        <v>22</v>
      </c>
      <c r="D144" s="89">
        <v>773.2</v>
      </c>
      <c r="E144" s="89">
        <v>1219.4000000000001</v>
      </c>
      <c r="F144" s="89">
        <v>1220</v>
      </c>
      <c r="G144" s="89">
        <f t="shared" si="47"/>
        <v>0.59999999999990905</v>
      </c>
      <c r="H144" s="89">
        <f t="shared" si="57"/>
        <v>0.29999999999995453</v>
      </c>
      <c r="I144" s="89">
        <f t="shared" si="55"/>
        <v>747.99999999999909</v>
      </c>
      <c r="J144" s="89">
        <f t="shared" si="61"/>
        <v>747999.99999999907</v>
      </c>
      <c r="K144" s="101">
        <f t="shared" si="63"/>
        <v>704268.50682525302</v>
      </c>
      <c r="L144" s="101">
        <f t="shared" si="52"/>
        <v>704.26850682525298</v>
      </c>
      <c r="M144" s="101"/>
      <c r="N144" s="101"/>
      <c r="O144" s="101"/>
      <c r="P144" s="101"/>
      <c r="Q144" s="101"/>
      <c r="R144" s="101"/>
      <c r="S144" s="89">
        <v>53.2</v>
      </c>
      <c r="T144" s="89">
        <f t="shared" si="64"/>
        <v>319.19999999995161</v>
      </c>
      <c r="U144" s="89">
        <f t="shared" si="49"/>
        <v>214818.89999999962</v>
      </c>
      <c r="V144" s="101">
        <f t="shared" si="65"/>
        <v>202259.60687278514</v>
      </c>
      <c r="W144" s="101">
        <f t="shared" si="56"/>
        <v>202.25960687278513</v>
      </c>
      <c r="X144" s="101"/>
      <c r="Y144" s="101"/>
      <c r="Z144" s="101"/>
      <c r="AA144" s="101"/>
      <c r="AB144" s="101"/>
      <c r="AC144" s="101"/>
      <c r="AD144" s="101"/>
      <c r="AE144" s="101"/>
    </row>
    <row r="145" spans="1:31" x14ac:dyDescent="0.25">
      <c r="A145" s="94">
        <v>44470</v>
      </c>
      <c r="B145" s="89">
        <v>154</v>
      </c>
      <c r="C145" s="89">
        <v>21</v>
      </c>
      <c r="D145" s="89">
        <v>773.2</v>
      </c>
      <c r="E145" s="89">
        <v>1220</v>
      </c>
      <c r="F145" s="89">
        <v>1220.5999999999999</v>
      </c>
      <c r="G145" s="89">
        <f t="shared" si="47"/>
        <v>0.59999999999990905</v>
      </c>
      <c r="H145" s="89">
        <f t="shared" si="57"/>
        <v>0.29999999999995453</v>
      </c>
      <c r="I145" s="89">
        <f t="shared" si="55"/>
        <v>749.19999999999891</v>
      </c>
      <c r="J145" s="89">
        <f t="shared" si="61"/>
        <v>749199.99999999895</v>
      </c>
      <c r="K145" s="101">
        <f t="shared" si="63"/>
        <v>707796.43994739419</v>
      </c>
      <c r="L145" s="101">
        <f t="shared" si="52"/>
        <v>707.79643994739422</v>
      </c>
      <c r="M145" s="101"/>
      <c r="N145" s="101"/>
      <c r="O145" s="101"/>
      <c r="P145" s="101"/>
      <c r="Q145" s="101"/>
      <c r="R145" s="101"/>
      <c r="S145" s="89">
        <v>50.2</v>
      </c>
      <c r="T145" s="89">
        <f t="shared" si="64"/>
        <v>301.19999999995434</v>
      </c>
      <c r="U145" s="89">
        <f t="shared" ref="U145:U146" si="66">U144+T145</f>
        <v>215120.09999999957</v>
      </c>
      <c r="V145" s="101">
        <f t="shared" si="65"/>
        <v>203231.76847454265</v>
      </c>
      <c r="W145" s="101">
        <f t="shared" si="56"/>
        <v>203.23176847454266</v>
      </c>
      <c r="X145" s="101"/>
      <c r="Y145" s="101"/>
      <c r="Z145" s="101"/>
      <c r="AA145" s="101"/>
      <c r="AB145" s="101"/>
      <c r="AC145" s="101"/>
      <c r="AD145" s="101"/>
      <c r="AE145" s="101"/>
    </row>
    <row r="146" spans="1:31" x14ac:dyDescent="0.25">
      <c r="A146" s="94">
        <v>44473</v>
      </c>
      <c r="B146" s="89">
        <v>157</v>
      </c>
      <c r="C146" s="89">
        <v>21</v>
      </c>
      <c r="D146" s="89">
        <v>773.2</v>
      </c>
      <c r="E146" s="89">
        <v>1220.5999999999999</v>
      </c>
      <c r="F146" s="89">
        <v>1221.2</v>
      </c>
      <c r="G146" s="89">
        <f t="shared" si="47"/>
        <v>0.60000000000013642</v>
      </c>
      <c r="H146" s="89">
        <f t="shared" si="57"/>
        <v>0.30000000000006821</v>
      </c>
      <c r="I146" s="89">
        <f t="shared" si="55"/>
        <v>750.39999999999918</v>
      </c>
      <c r="J146" s="89">
        <f t="shared" si="61"/>
        <v>750399.99999999919</v>
      </c>
      <c r="K146" s="101">
        <f t="shared" si="63"/>
        <v>708930.12351378112</v>
      </c>
      <c r="L146" s="101">
        <f t="shared" ref="L146:L147" si="67">(K146/1000)</f>
        <v>708.93012351378115</v>
      </c>
      <c r="M146" s="101"/>
      <c r="N146" s="101"/>
      <c r="O146" s="101"/>
      <c r="P146" s="101"/>
      <c r="Q146" s="101"/>
      <c r="R146" s="101"/>
      <c r="S146" s="89">
        <v>17.8</v>
      </c>
      <c r="T146" s="89">
        <f t="shared" si="64"/>
        <v>106.80000000002428</v>
      </c>
      <c r="U146" s="89">
        <f t="shared" si="66"/>
        <v>215226.89999999959</v>
      </c>
      <c r="V146" s="101">
        <f t="shared" si="65"/>
        <v>203332.66631195109</v>
      </c>
      <c r="W146" s="101">
        <f t="shared" si="56"/>
        <v>203.3326663119511</v>
      </c>
      <c r="X146" s="101"/>
      <c r="Y146" s="101"/>
      <c r="Z146" s="101"/>
      <c r="AA146" s="101"/>
      <c r="AB146" s="101"/>
      <c r="AC146" s="101"/>
      <c r="AD146" s="101"/>
      <c r="AE146" s="101"/>
    </row>
    <row r="147" spans="1:31" x14ac:dyDescent="0.25">
      <c r="A147" s="94">
        <v>44475</v>
      </c>
      <c r="C147" s="89">
        <v>21</v>
      </c>
      <c r="D147" s="89">
        <v>773.2</v>
      </c>
      <c r="E147" s="89">
        <v>1221.2</v>
      </c>
      <c r="F147" s="89">
        <v>1221.2</v>
      </c>
      <c r="G147" s="89">
        <v>0</v>
      </c>
      <c r="H147" s="89">
        <f t="shared" si="57"/>
        <v>0</v>
      </c>
      <c r="I147" s="89">
        <f t="shared" si="55"/>
        <v>750.39999999999918</v>
      </c>
      <c r="J147" s="89">
        <f t="shared" si="61"/>
        <v>750399.99999999919</v>
      </c>
      <c r="K147" s="101">
        <f t="shared" si="63"/>
        <v>708930.12351378112</v>
      </c>
      <c r="L147" s="101">
        <f t="shared" si="67"/>
        <v>708.93012351378115</v>
      </c>
      <c r="M147" s="101"/>
      <c r="N147" s="101"/>
      <c r="O147" s="101"/>
      <c r="P147" s="101"/>
      <c r="Q147" s="101"/>
      <c r="R147" s="101"/>
    </row>
    <row r="148" spans="1:31" x14ac:dyDescent="0.25">
      <c r="A148" s="94">
        <v>44477</v>
      </c>
      <c r="C148" s="89">
        <v>21</v>
      </c>
      <c r="D148" s="89">
        <v>773.2</v>
      </c>
      <c r="E148" s="89">
        <v>1221.2</v>
      </c>
      <c r="F148" s="89">
        <v>1221.2</v>
      </c>
      <c r="G148" s="89">
        <v>0</v>
      </c>
      <c r="H148" s="89">
        <f t="shared" si="57"/>
        <v>0</v>
      </c>
      <c r="I148" s="89">
        <f t="shared" si="55"/>
        <v>750.39999999999918</v>
      </c>
      <c r="J148" s="89">
        <f t="shared" si="61"/>
        <v>750399.99999999919</v>
      </c>
      <c r="K148" s="101">
        <f t="shared" si="63"/>
        <v>708930.12351378112</v>
      </c>
      <c r="L148" s="101">
        <f>(K148/1000)</f>
        <v>708.93012351378115</v>
      </c>
      <c r="M148" s="101"/>
      <c r="N148" s="101"/>
      <c r="O148" s="101"/>
      <c r="P148" s="101"/>
      <c r="Q148" s="101"/>
      <c r="R148" s="101"/>
    </row>
    <row r="149" spans="1:31" x14ac:dyDescent="0.25">
      <c r="A149" s="94">
        <v>44476</v>
      </c>
    </row>
  </sheetData>
  <mergeCells count="2">
    <mergeCell ref="A1:AJ1"/>
    <mergeCell ref="A77:AJ7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topLeftCell="A87" zoomScale="40" workbookViewId="0">
      <selection activeCell="P99" sqref="P99"/>
    </sheetView>
  </sheetViews>
  <sheetFormatPr baseColWidth="10" defaultRowHeight="15" x14ac:dyDescent="0.2"/>
  <cols>
    <col min="11" max="11" width="11.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DATOS</vt:lpstr>
      <vt:lpstr>SUSTRATOS Y MEZCLAS </vt:lpstr>
      <vt:lpstr>GRÁFICA pH (2)</vt:lpstr>
      <vt:lpstr>GRÁFICA REDOX (2)</vt:lpstr>
      <vt:lpstr>GRÁFICA CONDUCTIVIDAD ELÉCT (2</vt:lpstr>
      <vt:lpstr>GRÁFICA CALIDAD BIOGÁS</vt:lpstr>
      <vt:lpstr>Alcalinidad</vt:lpstr>
      <vt:lpstr>BIOGÁS</vt:lpstr>
      <vt:lpstr>GRAFICAS BIOGAS</vt:lpstr>
      <vt:lpstr>ST Y SV REACTOR 1</vt:lpstr>
      <vt:lpstr>ST Y SV REACTOR 2</vt:lpstr>
      <vt:lpstr>Hoja1</vt:lpstr>
      <vt:lpstr>Carga Reactor 1</vt:lpstr>
      <vt:lpstr>Carga Reactor 2</vt:lpstr>
      <vt:lpstr>Hoja4</vt:lpstr>
      <vt:lpstr>Hoja7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VALENCIA VAZQUEZ</cp:lastModifiedBy>
  <dcterms:created xsi:type="dcterms:W3CDTF">2021-05-21T12:47:01Z</dcterms:created>
  <dcterms:modified xsi:type="dcterms:W3CDTF">2024-05-22T19:46:21Z</dcterms:modified>
</cp:coreProperties>
</file>